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d.docs.live.net/470078b7f0ba9cab/Schieten/Prijsberekening en uurrooster/"/>
    </mc:Choice>
  </mc:AlternateContent>
  <xr:revisionPtr revIDLastSave="42" documentId="8_{30D81F8A-80A9-468C-9C8A-4213E6BD780E}" xr6:coauthVersionLast="47" xr6:coauthVersionMax="47" xr10:uidLastSave="{72037AC0-9852-4311-82A0-A6D80469885A}"/>
  <workbookProtection lockStructure="1"/>
  <bookViews>
    <workbookView xWindow="6915" yWindow="3210" windowWidth="52530" windowHeight="15525" xr2:uid="{00000000-000D-0000-FFFF-FFFF00000000}"/>
  </bookViews>
  <sheets>
    <sheet name="Ploegen" sheetId="1" r:id="rId1"/>
    <sheet name="Bepaling dagprijs" sheetId="61" state="hidden" r:id="rId2"/>
    <sheet name="ontv geld" sheetId="2" r:id="rId3"/>
    <sheet name="enveloppen" sheetId="27" r:id="rId4"/>
    <sheet name="Afdrukblad" sheetId="16" r:id="rId5"/>
    <sheet name="Prijzentabel oud" sheetId="5" state="hidden" r:id="rId6"/>
    <sheet name="Prijzentabel" sheetId="62" state="hidden" r:id="rId7"/>
    <sheet name="Bepaling winstdeelname" sheetId="6" state="hidden" r:id="rId8"/>
    <sheet name="Tabellen" sheetId="23" state="hidden" r:id="rId9"/>
  </sheets>
  <definedNames>
    <definedName name="Aantal_24">'Bepaling winstdeelname'!$D$12</definedName>
    <definedName name="Aantal_25">'Bepaling winstdeelname'!$D$11</definedName>
    <definedName name="Aantal_26">'Bepaling winstdeelname'!$D$10</definedName>
    <definedName name="Aantal_27">'Bepaling winstdeelname'!$D$9</definedName>
    <definedName name="Aantal_28">'Bepaling winstdeelname'!$D$8</definedName>
    <definedName name="Aantal_29">'Bepaling winstdeelname'!$D$7</definedName>
    <definedName name="Aantal_30">'Bepaling winstdeelname'!$D$6</definedName>
    <definedName name="Aantal_kanshebbers">'Bepaling dagprijs'!$E$6</definedName>
    <definedName name="aantal_ploegen">Ploegen!$D$30</definedName>
    <definedName name="Aantal_Prijs1">'Bepaling dagprijs'!$D$24</definedName>
    <definedName name="Aantal_Prijs2">'Bepaling dagprijs'!$D$25</definedName>
    <definedName name="Aantal_Prijs3">'Bepaling dagprijs'!$D$26</definedName>
    <definedName name="_xlnm.Print_Area" localSheetId="4">Afdrukblad!$A$1:$Z$25</definedName>
    <definedName name="_xlnm.Print_Area" localSheetId="3">OFFSET(enveloppen!A1,0,0,COUNTIF(winstdeelname,TRUE)*14,10)</definedName>
    <definedName name="_xlnm.Print_Area" localSheetId="2">'ontv geld'!$A$1:$G$41</definedName>
    <definedName name="_xlnm.Print_Area" localSheetId="0">Ploegen!$A$1:$AE$40</definedName>
    <definedName name="Bedrag_per_ploeg">'Bepaling winstdeelname'!$L$6:$L$12</definedName>
    <definedName name="Bedrag_per_ploeg_24">'Bepaling winstdeelname'!$N$12</definedName>
    <definedName name="Bedrag_per_ploeg_25">'Bepaling winstdeelname'!$N$11</definedName>
    <definedName name="Bedrag_per_ploeg_26">'Bepaling winstdeelname'!$N$10</definedName>
    <definedName name="Bedrag_per_ploeg_27">'Bepaling winstdeelname'!$N$9</definedName>
    <definedName name="Bedrag_per_ploeg_28">'Bepaling winstdeelname'!$N$8</definedName>
    <definedName name="Bedrag_per_ploeg_29">'Bepaling winstdeelname'!$N$7</definedName>
    <definedName name="Bedrag_per_ploeg_30">'Bepaling winstdeelname'!$N$6</definedName>
    <definedName name="Datum">Ploegen!$AK$18</definedName>
    <definedName name="dyn_printgebied_enveloppen">OFFSET(enveloppen!XEI1048543,0,0,COUNTIF(winstdeelname,TRUE)*14,5)</definedName>
    <definedName name="listGilden" localSheetId="3">tblGilden[Naam]</definedName>
    <definedName name="listGilden" localSheetId="6">tblGilden[Naam]</definedName>
    <definedName name="listGilden">tblGilden[Naam]</definedName>
    <definedName name="listGildenVR2" localSheetId="6">tblGilden[Naam]</definedName>
    <definedName name="listGildenVR2">tblGilden[Naam]</definedName>
    <definedName name="listTypeWedstrijd" localSheetId="6">tblTypeWedstrijd[TypeWedstrijd]</definedName>
    <definedName name="listTypeWedstrijd">tblTypeWedstrijd[TypeWedstrijd]</definedName>
    <definedName name="Minder_dan_6">Ploegen!$A$3:$A$27</definedName>
    <definedName name="Ploegen">Ploegen!$C$3:$C$27</definedName>
    <definedName name="PloegenKolom" localSheetId="3">enveloppen!$Q$2</definedName>
    <definedName name="Prijs_vanaf">'Bepaling dagprijs'!$E$5</definedName>
    <definedName name="Prijs1">'Bepaling dagprijs'!$F$24</definedName>
    <definedName name="Prijs2">'Bepaling dagprijs'!$F$25</definedName>
    <definedName name="Prijs3">'Bepaling dagprijs'!$F$26</definedName>
    <definedName name="Stand">Ploegen!$AK$17</definedName>
    <definedName name="tbl_ploegen">Ploegen!$C$3:$AG$27</definedName>
    <definedName name="tbl_prijzen">'Bepaling winstdeelname'!$B$6:$N$12</definedName>
    <definedName name="tbl_prijzengeld">Prijzentabel!$B$2:$AO$78</definedName>
    <definedName name="tbl_prijzengeld_oud">'Prijzentabel oud'!$B$2:$AO$78</definedName>
    <definedName name="tbl_uitslag_punten">Ploegen!$D$3:$M$27</definedName>
    <definedName name="TypeWedstrijd">Ploegen!$AK$16</definedName>
    <definedName name="Uitslagen_A">Ploegen!$D$3:$D$27</definedName>
    <definedName name="Uitslagen_B">Ploegen!$E$3:$E$27</definedName>
    <definedName name="Uitslagen_C">Ploegen!$F$3:$F$27</definedName>
    <definedName name="Uitslagen_D">Ploegen!$G$3:$G$27</definedName>
    <definedName name="Uitslagen_E">Ploegen!$H$3:$H$27</definedName>
    <definedName name="Uitslagen_F">Ploegen!$I$3:$I$27</definedName>
    <definedName name="varDoorschuiven">Ploegen!$AI$28</definedName>
    <definedName name="varDrempelwaarde" localSheetId="1">LARGE('Bepaling dagprijs'!$R$6:$R$155,3)</definedName>
    <definedName name="varSleutel" localSheetId="1">'Bepaling dagprijs'!$R$6:$R$155</definedName>
    <definedName name="winstdeelname">Ploegen!$AF$3:$AF$27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 i="6" l="1"/>
  <c r="I3" i="23"/>
  <c r="D11" i="6"/>
  <c r="D38" i="1" s="1"/>
  <c r="B2" i="62" a="1"/>
  <c r="D30" i="1"/>
  <c r="A45" i="27" s="1"/>
  <c r="F30" i="1"/>
  <c r="D12" i="6"/>
  <c r="D39" i="1" s="1"/>
  <c r="D6" i="6"/>
  <c r="C213" i="27" s="1"/>
  <c r="D7" i="6"/>
  <c r="C158" i="27" s="1"/>
  <c r="D8" i="6"/>
  <c r="C299" i="27" s="1"/>
  <c r="D9" i="6"/>
  <c r="D36" i="1" s="1"/>
  <c r="D10" i="6"/>
  <c r="D37" i="1" s="1"/>
  <c r="AL6" i="61"/>
  <c r="C1" i="1"/>
  <c r="H169" i="27" s="1"/>
  <c r="H4" i="61"/>
  <c r="H1" i="1"/>
  <c r="I281" i="27" s="1"/>
  <c r="AP2" i="5"/>
  <c r="AP3" i="5"/>
  <c r="AP4" i="5"/>
  <c r="AP5" i="5"/>
  <c r="AP6" i="5"/>
  <c r="AP7" i="5"/>
  <c r="G4" i="2"/>
  <c r="AP8" i="5"/>
  <c r="AP9" i="5"/>
  <c r="AP10" i="5"/>
  <c r="AP11" i="5"/>
  <c r="AP12" i="5"/>
  <c r="AP13" i="5"/>
  <c r="AP14" i="5"/>
  <c r="AP15" i="5"/>
  <c r="AP16" i="5"/>
  <c r="AP17" i="5"/>
  <c r="AP18" i="5"/>
  <c r="AP19" i="5"/>
  <c r="AP20" i="5"/>
  <c r="AP21" i="5"/>
  <c r="AP22" i="5"/>
  <c r="AP23" i="5"/>
  <c r="AP24" i="5"/>
  <c r="AP25" i="5"/>
  <c r="AP26" i="5"/>
  <c r="AP27" i="5"/>
  <c r="AP28" i="5"/>
  <c r="AP29" i="5"/>
  <c r="AP30" i="5"/>
  <c r="AP31" i="5"/>
  <c r="AP32" i="5"/>
  <c r="AP33" i="5"/>
  <c r="AP34" i="5"/>
  <c r="AP35" i="5"/>
  <c r="AP36" i="5"/>
  <c r="AP37" i="5"/>
  <c r="AP38" i="5"/>
  <c r="AP39" i="5"/>
  <c r="AP40" i="5"/>
  <c r="AP41" i="5"/>
  <c r="AP42" i="5"/>
  <c r="AP43" i="5"/>
  <c r="AP44" i="5"/>
  <c r="AP45" i="5"/>
  <c r="AP46" i="5"/>
  <c r="AP47" i="5"/>
  <c r="AP48" i="5"/>
  <c r="AP49" i="5"/>
  <c r="AP50" i="5"/>
  <c r="AP51" i="5"/>
  <c r="AP52" i="5"/>
  <c r="AP53" i="5"/>
  <c r="AP54" i="5"/>
  <c r="AP55" i="5"/>
  <c r="AP56" i="5"/>
  <c r="AP57" i="5"/>
  <c r="AP58" i="5"/>
  <c r="AP59" i="5"/>
  <c r="AP60" i="5"/>
  <c r="AP61" i="5"/>
  <c r="AP62" i="5"/>
  <c r="AP63" i="5"/>
  <c r="AP64" i="5"/>
  <c r="AP65" i="5"/>
  <c r="AP66" i="5"/>
  <c r="AP67" i="5"/>
  <c r="AP68" i="5"/>
  <c r="AP69" i="5"/>
  <c r="AP70" i="5"/>
  <c r="AP71" i="5"/>
  <c r="AP72" i="5"/>
  <c r="AP73" i="5"/>
  <c r="AP74" i="5"/>
  <c r="AP75" i="5"/>
  <c r="AP76" i="5"/>
  <c r="AP77" i="5"/>
  <c r="AP78" i="5"/>
  <c r="Z41" i="1"/>
  <c r="Z42" i="1"/>
  <c r="H183" i="27"/>
  <c r="C9" i="6" a="1"/>
  <c r="C7" i="6" a="1"/>
  <c r="C10" i="6" a="1"/>
  <c r="AA8" i="6" a="1"/>
  <c r="C6" i="6" a="1"/>
  <c r="C8" i="6" a="1"/>
  <c r="AA10" i="6" a="1"/>
  <c r="AA12" i="6" a="1"/>
  <c r="AA6" i="6" a="1"/>
  <c r="AA7" i="6" a="1"/>
  <c r="AA11" i="6" a="1"/>
  <c r="AA9" i="6" a="1"/>
  <c r="I267" i="27" l="1"/>
  <c r="I71" i="27"/>
  <c r="I211" i="27"/>
  <c r="I155" i="27"/>
  <c r="I337" i="27"/>
  <c r="I29" i="27"/>
  <c r="I141" i="27"/>
  <c r="H1" i="16"/>
  <c r="I127" i="27"/>
  <c r="I15" i="27"/>
  <c r="I309" i="27"/>
  <c r="I225" i="27"/>
  <c r="I253" i="27"/>
  <c r="I169" i="27"/>
  <c r="I183" i="27"/>
  <c r="I113" i="27"/>
  <c r="I239" i="27"/>
  <c r="I57" i="27"/>
  <c r="I1" i="27"/>
  <c r="I197" i="27"/>
  <c r="I85" i="27"/>
  <c r="I99" i="27"/>
  <c r="I295" i="27"/>
  <c r="I43" i="27"/>
  <c r="H85" i="27"/>
  <c r="H281" i="27"/>
  <c r="H15" i="27"/>
  <c r="H225" i="27"/>
  <c r="H113" i="27"/>
  <c r="H71" i="27"/>
  <c r="H323" i="27"/>
  <c r="H57" i="27"/>
  <c r="H267" i="27"/>
  <c r="H29" i="27"/>
  <c r="H309" i="27"/>
  <c r="B4" i="2"/>
  <c r="H141" i="27"/>
  <c r="H1" i="27"/>
  <c r="H239" i="27"/>
  <c r="H337" i="27"/>
  <c r="H197" i="27"/>
  <c r="H253" i="27"/>
  <c r="H295" i="27"/>
  <c r="H127" i="27"/>
  <c r="H99" i="27"/>
  <c r="D1" i="16"/>
  <c r="H43" i="27"/>
  <c r="H211" i="27"/>
  <c r="H155" i="27"/>
  <c r="C227" i="27"/>
  <c r="C59" i="27"/>
  <c r="C46" i="27"/>
  <c r="C325" i="27"/>
  <c r="D33" i="1"/>
  <c r="C187" i="27"/>
  <c r="A115" i="27"/>
  <c r="C143" i="27"/>
  <c r="A339" i="27"/>
  <c r="C284" i="27"/>
  <c r="C199" i="27"/>
  <c r="C11" i="6" a="1"/>
  <c r="C11" i="6" s="1"/>
  <c r="A31" i="27"/>
  <c r="C313" i="27"/>
  <c r="A213" i="27"/>
  <c r="C87" i="27"/>
  <c r="C101" i="27"/>
  <c r="C157" i="27"/>
  <c r="C12" i="6" a="1"/>
  <c r="C12" i="6" s="1"/>
  <c r="C74" i="27"/>
  <c r="C341" i="27"/>
  <c r="A143" i="27"/>
  <c r="A73" i="27"/>
  <c r="AJ9" i="1"/>
  <c r="C129" i="27"/>
  <c r="C200" i="27"/>
  <c r="A283" i="27"/>
  <c r="A311" i="27"/>
  <c r="D35" i="1"/>
  <c r="C171" i="27"/>
  <c r="A171" i="27"/>
  <c r="C45" i="27"/>
  <c r="C47" i="27"/>
  <c r="C297" i="27"/>
  <c r="C75" i="27"/>
  <c r="A59" i="27"/>
  <c r="C102" i="27"/>
  <c r="A325" i="27"/>
  <c r="A269" i="27"/>
  <c r="C201" i="27"/>
  <c r="A227" i="27"/>
  <c r="A255" i="27"/>
  <c r="C241" i="27"/>
  <c r="C173" i="27"/>
  <c r="A3" i="27"/>
  <c r="A185" i="27"/>
  <c r="A199" i="27"/>
  <c r="A17" i="27"/>
  <c r="C269" i="27"/>
  <c r="C243" i="27"/>
  <c r="A297" i="27"/>
  <c r="A157" i="27"/>
  <c r="A101" i="27"/>
  <c r="C131" i="27"/>
  <c r="A129" i="27"/>
  <c r="A87" i="27"/>
  <c r="C89" i="27"/>
  <c r="G30" i="1"/>
  <c r="AI9" i="1" s="1"/>
  <c r="A241" i="27"/>
  <c r="C339" i="27"/>
  <c r="C270" i="27"/>
  <c r="AP3" i="62"/>
  <c r="AP73" i="62"/>
  <c r="C159" i="27"/>
  <c r="AP68" i="62"/>
  <c r="AP38" i="62"/>
  <c r="AP36" i="62"/>
  <c r="AP61" i="62"/>
  <c r="AP13" i="62"/>
  <c r="AP71" i="62"/>
  <c r="AP59" i="62"/>
  <c r="AP9" i="62"/>
  <c r="AP22" i="62"/>
  <c r="AP20" i="62"/>
  <c r="AP64" i="62"/>
  <c r="AP23" i="62"/>
  <c r="AP76" i="62"/>
  <c r="AP43" i="62"/>
  <c r="C5" i="27"/>
  <c r="AP6" i="62"/>
  <c r="AP4" i="62"/>
  <c r="AP48" i="62"/>
  <c r="AP78" i="62"/>
  <c r="AP60" i="62"/>
  <c r="AP27" i="62"/>
  <c r="AP32" i="62"/>
  <c r="AP62" i="62"/>
  <c r="AP44" i="62"/>
  <c r="AP11" i="62"/>
  <c r="AP72" i="62"/>
  <c r="AP54" i="62"/>
  <c r="AP29" i="62"/>
  <c r="AP75" i="62"/>
  <c r="AP25" i="62"/>
  <c r="AP16" i="62"/>
  <c r="AP46" i="62"/>
  <c r="AP28" i="62"/>
  <c r="AP56" i="62"/>
  <c r="AP39" i="62"/>
  <c r="AP30" i="62"/>
  <c r="AP12" i="62"/>
  <c r="AP40" i="62"/>
  <c r="I323" i="27"/>
  <c r="AP69" i="62"/>
  <c r="AP45" i="62"/>
  <c r="AP14" i="62"/>
  <c r="AP41" i="62"/>
  <c r="AP24" i="62"/>
  <c r="AP53" i="62"/>
  <c r="AP55" i="62"/>
  <c r="AP7" i="62"/>
  <c r="AP74" i="62"/>
  <c r="AP8" i="62"/>
  <c r="C103" i="27"/>
  <c r="AP37" i="62"/>
  <c r="AP66" i="62"/>
  <c r="AP58" i="62"/>
  <c r="AP21" i="62"/>
  <c r="B2" i="62"/>
  <c r="AP2" i="62" s="1"/>
  <c r="AP50" i="62"/>
  <c r="AP77" i="62"/>
  <c r="AP42" i="62"/>
  <c r="AP70" i="62"/>
  <c r="AP51" i="62"/>
  <c r="AP18" i="62"/>
  <c r="AP49" i="62"/>
  <c r="AP47" i="62"/>
  <c r="AP10" i="62"/>
  <c r="AP5" i="62"/>
  <c r="AP67" i="62"/>
  <c r="AP34" i="62"/>
  <c r="AP65" i="62"/>
  <c r="AP26" i="62"/>
  <c r="AP35" i="62"/>
  <c r="AP33" i="62"/>
  <c r="AP31" i="62"/>
  <c r="AP57" i="62"/>
  <c r="C145" i="27"/>
  <c r="C17" i="27"/>
  <c r="AP63" i="62"/>
  <c r="AP52" i="62"/>
  <c r="AP19" i="62"/>
  <c r="AP17" i="62"/>
  <c r="AP15" i="62"/>
  <c r="C33" i="27"/>
  <c r="C242" i="27"/>
  <c r="C144" i="27"/>
  <c r="C326" i="27"/>
  <c r="C186" i="27"/>
  <c r="C88" i="27"/>
  <c r="C3" i="27"/>
  <c r="C73" i="27"/>
  <c r="C228" i="27"/>
  <c r="C285" i="27"/>
  <c r="C257" i="27"/>
  <c r="C185" i="27"/>
  <c r="D34" i="1"/>
  <c r="C61" i="27"/>
  <c r="C32" i="27"/>
  <c r="C256" i="27"/>
  <c r="C60" i="27"/>
  <c r="C130" i="27"/>
  <c r="C311" i="27"/>
  <c r="C255" i="27"/>
  <c r="C116" i="27"/>
  <c r="C4" i="27"/>
  <c r="C214" i="27"/>
  <c r="C172" i="27"/>
  <c r="C117" i="27"/>
  <c r="C283" i="27"/>
  <c r="C31" i="27"/>
  <c r="C298" i="27"/>
  <c r="C19" i="27"/>
  <c r="C271" i="27"/>
  <c r="C340" i="27"/>
  <c r="C312" i="27"/>
  <c r="C229" i="27"/>
  <c r="C215" i="27"/>
  <c r="C327" i="27"/>
  <c r="C18" i="27"/>
  <c r="C115" i="27"/>
  <c r="AA6" i="6"/>
  <c r="AA10" i="6"/>
  <c r="C8" i="6"/>
  <c r="C7" i="6"/>
  <c r="C10" i="6"/>
  <c r="AA12" i="6"/>
  <c r="AA8" i="6"/>
  <c r="C9" i="6"/>
  <c r="AA7" i="6"/>
  <c r="AA9" i="6"/>
  <c r="AA11" i="6"/>
  <c r="C6" i="6"/>
  <c r="E7" i="6" l="1"/>
  <c r="Q6" i="6" s="1"/>
  <c r="E11" i="6"/>
  <c r="F11" i="6" s="1"/>
  <c r="E12" i="6"/>
  <c r="F12" i="6" s="1"/>
  <c r="E9" i="6"/>
  <c r="E8" i="6"/>
  <c r="F8" i="6" s="1"/>
  <c r="E6" i="6"/>
  <c r="F6" i="6" s="1"/>
  <c r="E10" i="6"/>
  <c r="Q8" i="6" l="1"/>
  <c r="Q9" i="6"/>
  <c r="R9" i="6" s="1"/>
  <c r="F10" i="6"/>
  <c r="H6" i="6"/>
  <c r="I6" i="6" s="1"/>
  <c r="F9" i="6"/>
  <c r="R6" i="6"/>
  <c r="T6" i="6"/>
  <c r="U6" i="6" s="1"/>
  <c r="Q10" i="6"/>
  <c r="Q7" i="6"/>
  <c r="Q11" i="6"/>
  <c r="Q12" i="6"/>
  <c r="F7" i="6"/>
  <c r="H7" i="6" s="1"/>
  <c r="I7" i="6" s="1"/>
  <c r="R8" i="6"/>
  <c r="H9" i="6" l="1"/>
  <c r="I9" i="6" s="1"/>
  <c r="H8" i="6"/>
  <c r="I8" i="6" s="1"/>
  <c r="K7" i="6" s="1"/>
  <c r="L7" i="6" s="1"/>
  <c r="N7" i="6" s="1"/>
  <c r="R12" i="6"/>
  <c r="R11" i="6"/>
  <c r="R7" i="6"/>
  <c r="H10" i="6"/>
  <c r="I10" i="6" s="1"/>
  <c r="H11" i="6"/>
  <c r="I11" i="6" s="1"/>
  <c r="R10" i="6"/>
  <c r="K6" i="6"/>
  <c r="H12" i="6"/>
  <c r="K9" i="6" l="1"/>
  <c r="K8" i="6"/>
  <c r="L8" i="6" s="1"/>
  <c r="N8" i="6" s="1"/>
  <c r="F61" i="27" s="1"/>
  <c r="K10" i="6"/>
  <c r="L10" i="6" s="1"/>
  <c r="N10" i="6" s="1"/>
  <c r="I12" i="6"/>
  <c r="K11" i="6" s="1"/>
  <c r="K12" i="6"/>
  <c r="L9" i="6"/>
  <c r="N9" i="6" s="1"/>
  <c r="M8" i="6"/>
  <c r="M7" i="6"/>
  <c r="F116" i="27"/>
  <c r="F242" i="27"/>
  <c r="F34" i="1"/>
  <c r="G34" i="1" s="1"/>
  <c r="F270" i="27"/>
  <c r="F340" i="27"/>
  <c r="F326" i="27"/>
  <c r="F88" i="27"/>
  <c r="F284" i="27"/>
  <c r="F18" i="27"/>
  <c r="F60" i="27"/>
  <c r="F130" i="27"/>
  <c r="F298" i="27"/>
  <c r="F74" i="27"/>
  <c r="F186" i="27"/>
  <c r="F32" i="27"/>
  <c r="F256" i="27"/>
  <c r="F102" i="27"/>
  <c r="F172" i="27"/>
  <c r="F312" i="27"/>
  <c r="F228" i="27"/>
  <c r="F144" i="27"/>
  <c r="F214" i="27"/>
  <c r="F46" i="27"/>
  <c r="F4" i="27"/>
  <c r="F200" i="27"/>
  <c r="F158" i="27"/>
  <c r="S7" i="6"/>
  <c r="L6" i="6"/>
  <c r="N6" i="6" s="1"/>
  <c r="F327" i="27" l="1"/>
  <c r="F173" i="27"/>
  <c r="F117" i="27"/>
  <c r="F215" i="27"/>
  <c r="F35" i="1"/>
  <c r="G35" i="1" s="1"/>
  <c r="F145" i="27"/>
  <c r="F159" i="27"/>
  <c r="F271" i="27"/>
  <c r="F299" i="27"/>
  <c r="F229" i="27"/>
  <c r="F103" i="27"/>
  <c r="F257" i="27"/>
  <c r="F341" i="27"/>
  <c r="F187" i="27"/>
  <c r="F313" i="27"/>
  <c r="S8" i="6"/>
  <c r="F285" i="27"/>
  <c r="F131" i="27"/>
  <c r="F75" i="27"/>
  <c r="F47" i="27"/>
  <c r="F201" i="27"/>
  <c r="F5" i="27"/>
  <c r="F243" i="27"/>
  <c r="F89" i="27"/>
  <c r="F33" i="27"/>
  <c r="F19" i="27"/>
  <c r="M9" i="6"/>
  <c r="L11" i="6"/>
  <c r="N11" i="6" s="1"/>
  <c r="F33" i="1"/>
  <c r="G33" i="1" s="1"/>
  <c r="F115" i="27"/>
  <c r="F297" i="27"/>
  <c r="F199" i="27"/>
  <c r="F31" i="27"/>
  <c r="F311" i="27"/>
  <c r="F185" i="27"/>
  <c r="F129" i="27"/>
  <c r="F325" i="27"/>
  <c r="F3" i="27"/>
  <c r="F241" i="27"/>
  <c r="F283" i="27"/>
  <c r="F339" i="27"/>
  <c r="F17" i="27"/>
  <c r="F45" i="27"/>
  <c r="F269" i="27"/>
  <c r="F73" i="27"/>
  <c r="F101" i="27"/>
  <c r="F87" i="27"/>
  <c r="F255" i="27"/>
  <c r="F157" i="27"/>
  <c r="F59" i="27"/>
  <c r="F143" i="27"/>
  <c r="F171" i="27"/>
  <c r="F213" i="27"/>
  <c r="F227" i="27"/>
  <c r="S6" i="6"/>
  <c r="M6" i="6"/>
  <c r="D119" i="27"/>
  <c r="D259" i="27"/>
  <c r="F21" i="27"/>
  <c r="F161" i="27"/>
  <c r="E119" i="27"/>
  <c r="E63" i="27"/>
  <c r="D161" i="27"/>
  <c r="C91" i="27"/>
  <c r="F119" i="27"/>
  <c r="D175" i="27"/>
  <c r="D49" i="27"/>
  <c r="C7" i="27"/>
  <c r="F63" i="27"/>
  <c r="E161" i="27"/>
  <c r="D329" i="27"/>
  <c r="F245" i="27"/>
  <c r="C273" i="27"/>
  <c r="F301" i="27"/>
  <c r="D77" i="27"/>
  <c r="E301" i="27"/>
  <c r="E7" i="27"/>
  <c r="E287" i="27"/>
  <c r="E259" i="27"/>
  <c r="F147" i="27"/>
  <c r="C49" i="27"/>
  <c r="D231" i="27"/>
  <c r="E329" i="27"/>
  <c r="E105" i="27"/>
  <c r="D91" i="27"/>
  <c r="C35" i="27"/>
  <c r="C329" i="27"/>
  <c r="F91" i="27"/>
  <c r="F273" i="27"/>
  <c r="D189" i="27"/>
  <c r="F49" i="27"/>
  <c r="C203" i="27"/>
  <c r="E77" i="27"/>
  <c r="F77" i="27"/>
  <c r="E49" i="27"/>
  <c r="D217" i="27"/>
  <c r="F133" i="27"/>
  <c r="C217" i="27"/>
  <c r="E203" i="27"/>
  <c r="E343" i="27"/>
  <c r="F259" i="27"/>
  <c r="E245" i="27"/>
  <c r="E273" i="27"/>
  <c r="F37" i="1"/>
  <c r="G37" i="1" s="1"/>
  <c r="E133" i="27"/>
  <c r="E231" i="27"/>
  <c r="E35" i="27"/>
  <c r="D203" i="27"/>
  <c r="E315" i="27"/>
  <c r="C301" i="27"/>
  <c r="C287" i="27"/>
  <c r="D273" i="27"/>
  <c r="C63" i="27"/>
  <c r="F287" i="27"/>
  <c r="D343" i="27"/>
  <c r="F343" i="27"/>
  <c r="F315" i="27"/>
  <c r="C161" i="27"/>
  <c r="D21" i="27"/>
  <c r="C133" i="27"/>
  <c r="F35" i="27"/>
  <c r="D63" i="27"/>
  <c r="C245" i="27"/>
  <c r="D287" i="27"/>
  <c r="D245" i="27"/>
  <c r="D7" i="27"/>
  <c r="C315" i="27"/>
  <c r="F175" i="27"/>
  <c r="E175" i="27"/>
  <c r="C21" i="27"/>
  <c r="C259" i="27"/>
  <c r="C343" i="27"/>
  <c r="D315" i="27"/>
  <c r="E217" i="27"/>
  <c r="F231" i="27"/>
  <c r="F7" i="27"/>
  <c r="C105" i="27"/>
  <c r="D147" i="27"/>
  <c r="C119" i="27"/>
  <c r="E91" i="27"/>
  <c r="D35" i="27"/>
  <c r="C77" i="27"/>
  <c r="F189" i="27"/>
  <c r="E21" i="27"/>
  <c r="C231" i="27"/>
  <c r="F329" i="27"/>
  <c r="F203" i="27"/>
  <c r="C175" i="27"/>
  <c r="F217" i="27"/>
  <c r="E147" i="27"/>
  <c r="D133" i="27"/>
  <c r="F105" i="27"/>
  <c r="D301" i="27"/>
  <c r="C147" i="27"/>
  <c r="D105" i="27"/>
  <c r="E189" i="27"/>
  <c r="C189" i="27"/>
  <c r="S10" i="6"/>
  <c r="L12" i="6"/>
  <c r="N12" i="6" s="1"/>
  <c r="C20" i="27"/>
  <c r="E90" i="27"/>
  <c r="D328" i="27"/>
  <c r="D174" i="27"/>
  <c r="F188" i="27"/>
  <c r="D230" i="27"/>
  <c r="C286" i="27"/>
  <c r="C160" i="27"/>
  <c r="D76" i="27"/>
  <c r="E216" i="27"/>
  <c r="E48" i="27"/>
  <c r="D34" i="27"/>
  <c r="F48" i="27"/>
  <c r="E76" i="27"/>
  <c r="F146" i="27"/>
  <c r="E202" i="27"/>
  <c r="F314" i="27"/>
  <c r="F272" i="27"/>
  <c r="E230" i="27"/>
  <c r="C328" i="27"/>
  <c r="F300" i="27"/>
  <c r="D216" i="27"/>
  <c r="D104" i="27"/>
  <c r="E118" i="27"/>
  <c r="D118" i="27"/>
  <c r="C62" i="27"/>
  <c r="D300" i="27"/>
  <c r="D314" i="27"/>
  <c r="D146" i="27"/>
  <c r="F20" i="27"/>
  <c r="E160" i="27"/>
  <c r="F202" i="27"/>
  <c r="E300" i="27"/>
  <c r="D286" i="27"/>
  <c r="F62" i="27"/>
  <c r="C146" i="27"/>
  <c r="E20" i="27"/>
  <c r="E62" i="27"/>
  <c r="C6" i="27"/>
  <c r="D244" i="27"/>
  <c r="C230" i="27"/>
  <c r="C174" i="27"/>
  <c r="C104" i="27"/>
  <c r="C272" i="27"/>
  <c r="C76" i="27"/>
  <c r="F90" i="27"/>
  <c r="D48" i="27"/>
  <c r="D202" i="27"/>
  <c r="F244" i="27"/>
  <c r="E132" i="27"/>
  <c r="D132" i="27"/>
  <c r="F118" i="27"/>
  <c r="D188" i="27"/>
  <c r="C342" i="27"/>
  <c r="E188" i="27"/>
  <c r="E314" i="27"/>
  <c r="C48" i="27"/>
  <c r="C216" i="27"/>
  <c r="E342" i="27"/>
  <c r="C188" i="27"/>
  <c r="F104" i="27"/>
  <c r="D342" i="27"/>
  <c r="D90" i="27"/>
  <c r="D160" i="27"/>
  <c r="F174" i="27"/>
  <c r="D258" i="27"/>
  <c r="E104" i="27"/>
  <c r="D272" i="27"/>
  <c r="E258" i="27"/>
  <c r="F34" i="27"/>
  <c r="C258" i="27"/>
  <c r="C300" i="27"/>
  <c r="C90" i="27"/>
  <c r="D20" i="27"/>
  <c r="F36" i="1"/>
  <c r="G36" i="1" s="1"/>
  <c r="F132" i="27"/>
  <c r="F160" i="27"/>
  <c r="C314" i="27"/>
  <c r="C244" i="27"/>
  <c r="F286" i="27"/>
  <c r="F230" i="27"/>
  <c r="E286" i="27"/>
  <c r="E146" i="27"/>
  <c r="F6" i="27"/>
  <c r="E6" i="27"/>
  <c r="F328" i="27"/>
  <c r="F342" i="27"/>
  <c r="F258" i="27"/>
  <c r="E328" i="27"/>
  <c r="C132" i="27"/>
  <c r="E34" i="27"/>
  <c r="C118" i="27"/>
  <c r="F76" i="27"/>
  <c r="F216" i="27"/>
  <c r="C34" i="27"/>
  <c r="E244" i="27"/>
  <c r="E174" i="27"/>
  <c r="C202" i="27"/>
  <c r="E272" i="27"/>
  <c r="D62" i="27"/>
  <c r="D6" i="27"/>
  <c r="S9" i="6"/>
  <c r="M10" i="6"/>
  <c r="M11" i="6" l="1"/>
  <c r="M12" i="6"/>
  <c r="AF25" i="1" a="1"/>
  <c r="AF25" i="1" s="1"/>
  <c r="AG25" i="1" s="1"/>
  <c r="AF19" i="1" a="1"/>
  <c r="AF19" i="1" s="1"/>
  <c r="AG19" i="1" s="1"/>
  <c r="AF7" i="1" a="1"/>
  <c r="AF7" i="1" s="1"/>
  <c r="AG7" i="1" s="1"/>
  <c r="AF24" i="1" a="1"/>
  <c r="AF24" i="1" s="1"/>
  <c r="AG24" i="1" s="1"/>
  <c r="AF22" i="1" a="1"/>
  <c r="AF22" i="1" s="1"/>
  <c r="AG22" i="1" s="1"/>
  <c r="AF23" i="1" a="1"/>
  <c r="AF23" i="1" s="1"/>
  <c r="AG23" i="1" s="1"/>
  <c r="AF6" i="1" a="1"/>
  <c r="AF6" i="1" s="1"/>
  <c r="AG6" i="1" s="1"/>
  <c r="AF11" i="1" a="1"/>
  <c r="AF11" i="1" s="1"/>
  <c r="AG11" i="1" s="1"/>
  <c r="AF26" i="1" a="1"/>
  <c r="AF26" i="1" s="1"/>
  <c r="AG26" i="1" s="1"/>
  <c r="AF14" i="1" a="1"/>
  <c r="AF14" i="1" s="1"/>
  <c r="AG14" i="1" s="1"/>
  <c r="AF9" i="1" a="1"/>
  <c r="AF9" i="1" s="1"/>
  <c r="AG9" i="1" s="1"/>
  <c r="AF21" i="1" a="1"/>
  <c r="AF21" i="1" s="1"/>
  <c r="AG21" i="1" s="1"/>
  <c r="AF12" i="1" a="1"/>
  <c r="AF12" i="1" s="1"/>
  <c r="AG12" i="1" s="1"/>
  <c r="AF16" i="1" a="1"/>
  <c r="AF16" i="1" s="1"/>
  <c r="AG16" i="1" s="1"/>
  <c r="AF3" i="1" a="1"/>
  <c r="AF3" i="1" s="1"/>
  <c r="AF4" i="1" a="1"/>
  <c r="AF4" i="1" s="1"/>
  <c r="AG4" i="1" s="1"/>
  <c r="AF13" i="1" a="1"/>
  <c r="AF13" i="1" s="1"/>
  <c r="AG13" i="1" s="1"/>
  <c r="AF10" i="1" a="1"/>
  <c r="AF10" i="1" s="1"/>
  <c r="AG10" i="1" s="1"/>
  <c r="AF27" i="1" a="1"/>
  <c r="AF27" i="1" s="1"/>
  <c r="AG27" i="1" s="1"/>
  <c r="AF8" i="1" a="1"/>
  <c r="AF8" i="1" s="1"/>
  <c r="AG8" i="1" s="1"/>
  <c r="AF17" i="1" a="1"/>
  <c r="AF17" i="1" s="1"/>
  <c r="AG17" i="1" s="1"/>
  <c r="AF18" i="1" a="1"/>
  <c r="AF18" i="1" s="1"/>
  <c r="AG18" i="1" s="1"/>
  <c r="AF5" i="1" a="1"/>
  <c r="AF5" i="1" s="1"/>
  <c r="AG5" i="1" s="1"/>
  <c r="F39" i="1"/>
  <c r="G39" i="1" s="1"/>
  <c r="S12" i="6"/>
  <c r="AF15" i="1" a="1"/>
  <c r="AF15" i="1" s="1"/>
  <c r="AG15" i="1" s="1"/>
  <c r="T8" i="6"/>
  <c r="U8" i="6" s="1"/>
  <c r="T9" i="6"/>
  <c r="U9" i="6" s="1"/>
  <c r="T10" i="6"/>
  <c r="U10" i="6" s="1"/>
  <c r="T11" i="6"/>
  <c r="U11" i="6" s="1"/>
  <c r="T7" i="6"/>
  <c r="U7" i="6" s="1"/>
  <c r="AF20" i="1" a="1"/>
  <c r="AF20" i="1" s="1"/>
  <c r="AG20" i="1" s="1"/>
  <c r="C344" i="27"/>
  <c r="F22" i="27"/>
  <c r="C232" i="27"/>
  <c r="C218" i="27"/>
  <c r="D302" i="27"/>
  <c r="F36" i="27"/>
  <c r="C190" i="27"/>
  <c r="E50" i="27"/>
  <c r="E64" i="27"/>
  <c r="C64" i="27"/>
  <c r="D64" i="27"/>
  <c r="C148" i="27"/>
  <c r="E134" i="27"/>
  <c r="E36" i="27"/>
  <c r="F134" i="27"/>
  <c r="F218" i="27"/>
  <c r="E190" i="27"/>
  <c r="D134" i="27"/>
  <c r="D190" i="27"/>
  <c r="D344" i="27"/>
  <c r="E78" i="27"/>
  <c r="E162" i="27"/>
  <c r="F302" i="27"/>
  <c r="F38" i="1"/>
  <c r="G38" i="1" s="1"/>
  <c r="C302" i="27"/>
  <c r="F162" i="27"/>
  <c r="D92" i="27"/>
  <c r="E330" i="27"/>
  <c r="E204" i="27"/>
  <c r="C204" i="27"/>
  <c r="D78" i="27"/>
  <c r="C274" i="27"/>
  <c r="D246" i="27"/>
  <c r="E8" i="27"/>
  <c r="D288" i="27"/>
  <c r="C78" i="27"/>
  <c r="C316" i="27"/>
  <c r="F106" i="27"/>
  <c r="D36" i="27"/>
  <c r="F288" i="27"/>
  <c r="F120" i="27"/>
  <c r="C246" i="27"/>
  <c r="E260" i="27"/>
  <c r="F232" i="27"/>
  <c r="E218" i="27"/>
  <c r="E106" i="27"/>
  <c r="D218" i="27"/>
  <c r="C134" i="27"/>
  <c r="D204" i="27"/>
  <c r="C288" i="27"/>
  <c r="C162" i="27"/>
  <c r="E274" i="27"/>
  <c r="C92" i="27"/>
  <c r="E302" i="27"/>
  <c r="C22" i="27"/>
  <c r="E288" i="27"/>
  <c r="F260" i="27"/>
  <c r="C50" i="27"/>
  <c r="C330" i="27"/>
  <c r="D120" i="27"/>
  <c r="F92" i="27"/>
  <c r="D316" i="27"/>
  <c r="E92" i="27"/>
  <c r="D8" i="27"/>
  <c r="D232" i="27"/>
  <c r="D106" i="27"/>
  <c r="F246" i="27"/>
  <c r="F330" i="27"/>
  <c r="D50" i="27"/>
  <c r="F50" i="27"/>
  <c r="E176" i="27"/>
  <c r="F8" i="27"/>
  <c r="E120" i="27"/>
  <c r="E246" i="27"/>
  <c r="E316" i="27"/>
  <c r="E22" i="27"/>
  <c r="D22" i="27"/>
  <c r="C120" i="27"/>
  <c r="D148" i="27"/>
  <c r="C36" i="27"/>
  <c r="F344" i="27"/>
  <c r="F274" i="27"/>
  <c r="E148" i="27"/>
  <c r="C260" i="27"/>
  <c r="F78" i="27"/>
  <c r="D260" i="27"/>
  <c r="F176" i="27"/>
  <c r="E232" i="27"/>
  <c r="C176" i="27"/>
  <c r="F204" i="27"/>
  <c r="F190" i="27"/>
  <c r="C8" i="27"/>
  <c r="C106" i="27"/>
  <c r="F316" i="27"/>
  <c r="F148" i="27"/>
  <c r="F64" i="27"/>
  <c r="D330" i="27"/>
  <c r="D162" i="27"/>
  <c r="D274" i="27"/>
  <c r="E344" i="27"/>
  <c r="D176" i="27"/>
  <c r="S11" i="6"/>
  <c r="T12" i="6" s="1"/>
  <c r="U12" i="6" s="1"/>
  <c r="G40" i="1" l="1"/>
  <c r="AI10" i="1" s="1"/>
  <c r="AG3" i="1"/>
  <c r="E5" i="61" s="1" a="1"/>
  <c r="E5" i="61" s="1"/>
  <c r="AI22" i="1"/>
  <c r="A303" i="27" a="1"/>
  <c r="A121" i="27" a="1"/>
  <c r="A177" i="27" a="1"/>
  <c r="A79" i="27" a="1"/>
  <c r="A205" i="27" a="1"/>
  <c r="A37" i="27" a="1"/>
  <c r="A331" i="27" a="1"/>
  <c r="A261" i="27" a="1"/>
  <c r="A9" i="27" a="1"/>
  <c r="A65" i="27" a="1"/>
  <c r="A345" i="27" a="1"/>
  <c r="A247" i="27" a="1"/>
  <c r="A219" i="27" a="1"/>
  <c r="A107" i="27" a="1"/>
  <c r="A289" i="27" a="1"/>
  <c r="A23" i="27" a="1"/>
  <c r="A51" i="27" a="1"/>
  <c r="A149" i="27" a="1"/>
  <c r="A233" i="27" a="1"/>
  <c r="A135" i="27" a="1"/>
  <c r="A93" i="27" a="1"/>
  <c r="A317" i="27" a="1"/>
  <c r="A163" i="27" a="1"/>
  <c r="A191" i="27" a="1"/>
  <c r="A275" i="27" a="1"/>
  <c r="A107" i="27" l="1"/>
  <c r="A135" i="27"/>
  <c r="A205" i="27"/>
  <c r="A79" i="27"/>
  <c r="A9" i="27"/>
  <c r="A177" i="27"/>
  <c r="A121" i="27"/>
  <c r="A37" i="27"/>
  <c r="A149" i="27"/>
  <c r="A163" i="27"/>
  <c r="A191" i="27"/>
  <c r="A275" i="27"/>
  <c r="A317" i="27"/>
  <c r="A93" i="27"/>
  <c r="A23" i="27"/>
  <c r="A289" i="27"/>
  <c r="A219" i="27"/>
  <c r="A247" i="27"/>
  <c r="A345" i="27"/>
  <c r="A65" i="27"/>
  <c r="A261" i="27"/>
  <c r="A331" i="27"/>
  <c r="A303" i="27"/>
  <c r="A233" i="27"/>
  <c r="A51" i="27"/>
  <c r="I6" i="61" a="1"/>
  <c r="I6" i="61" s="1"/>
  <c r="I131" i="61" a="1"/>
  <c r="I131" i="61" s="1"/>
  <c r="E14" i="61" a="1"/>
  <c r="E14" i="61" s="1"/>
  <c r="I106" i="61" a="1"/>
  <c r="I106" i="61" s="1"/>
  <c r="E12" i="61" a="1"/>
  <c r="E12" i="61" s="1"/>
  <c r="I56" i="61" a="1"/>
  <c r="I56" i="61" s="1"/>
  <c r="J80" i="61" s="1" a="1"/>
  <c r="J80" i="61" s="1"/>
  <c r="E8" i="61"/>
  <c r="I31" i="61" a="1"/>
  <c r="I31" i="61" s="1"/>
  <c r="E13" i="61" a="1"/>
  <c r="E13" i="61" s="1"/>
  <c r="I81" i="61" a="1"/>
  <c r="I81" i="61" s="1"/>
  <c r="E9" i="61" a="1"/>
  <c r="E9" i="61" s="1"/>
  <c r="E10" i="61" a="1"/>
  <c r="E10" i="61" s="1"/>
  <c r="E11" i="61" a="1"/>
  <c r="E11" i="61" s="1"/>
  <c r="B9" i="2" a="1"/>
  <c r="B9" i="2" s="1"/>
  <c r="B13" i="2" a="1"/>
  <c r="B13" i="2" s="1"/>
  <c r="B29" i="2" a="1"/>
  <c r="B29" i="2" s="1"/>
  <c r="B26" i="2" a="1"/>
  <c r="B26" i="2" s="1"/>
  <c r="B25" i="2" a="1"/>
  <c r="B25" i="2" s="1"/>
  <c r="B14" i="2" a="1"/>
  <c r="B14" i="2" s="1"/>
  <c r="B12" i="2" a="1"/>
  <c r="B12" i="2" s="1"/>
  <c r="B30" i="2" a="1"/>
  <c r="B30" i="2" s="1"/>
  <c r="B19" i="2" a="1"/>
  <c r="B19" i="2" s="1"/>
  <c r="B15" i="2" a="1"/>
  <c r="B15" i="2" s="1"/>
  <c r="B7" i="2" a="1"/>
  <c r="B7" i="2" s="1"/>
  <c r="B21" i="2" a="1"/>
  <c r="B21" i="2" s="1"/>
  <c r="B8" i="2" a="1"/>
  <c r="B8" i="2" s="1"/>
  <c r="B22" i="2" a="1"/>
  <c r="B22" i="2" s="1"/>
  <c r="B27" i="2" a="1"/>
  <c r="B27" i="2" s="1"/>
  <c r="B20" i="2" a="1"/>
  <c r="B20" i="2" s="1"/>
  <c r="B11" i="2" a="1"/>
  <c r="B11" i="2" s="1"/>
  <c r="B23" i="2" a="1"/>
  <c r="B23" i="2" s="1"/>
  <c r="B10" i="2" a="1"/>
  <c r="B10" i="2" s="1"/>
  <c r="B18" i="2" a="1"/>
  <c r="B18" i="2" s="1"/>
  <c r="B17" i="2" a="1"/>
  <c r="B17" i="2" s="1"/>
  <c r="B16" i="2" a="1"/>
  <c r="B16" i="2" s="1"/>
  <c r="B24" i="2" a="1"/>
  <c r="B24" i="2" s="1"/>
  <c r="B31" i="2" a="1"/>
  <c r="B31" i="2" s="1"/>
  <c r="B28" i="2" a="1"/>
  <c r="B28" i="2" s="1"/>
  <c r="J81" i="61" l="1" a="1"/>
  <c r="J81" i="61" s="1"/>
  <c r="J82" i="61" a="1"/>
  <c r="J82" i="61" s="1"/>
  <c r="J83" i="61" a="1"/>
  <c r="J83" i="61" s="1"/>
  <c r="J57" i="61" a="1"/>
  <c r="J57" i="61" s="1"/>
  <c r="J65" i="61" a="1"/>
  <c r="J65" i="61" s="1"/>
  <c r="J73" i="61" a="1"/>
  <c r="J73" i="61" s="1"/>
  <c r="K73" i="61" s="1" a="1"/>
  <c r="K73" i="61" s="1"/>
  <c r="S73" i="61" s="1"/>
  <c r="J58" i="61" a="1"/>
  <c r="J58" i="61" s="1"/>
  <c r="J66" i="61" a="1"/>
  <c r="J66" i="61" s="1"/>
  <c r="J74" i="61" a="1"/>
  <c r="J74" i="61" s="1"/>
  <c r="K74" i="61" s="1" a="1"/>
  <c r="K74" i="61" s="1"/>
  <c r="S74" i="61" s="1"/>
  <c r="J59" i="61" a="1"/>
  <c r="J59" i="61" s="1"/>
  <c r="K59" i="61" s="1" a="1"/>
  <c r="K59" i="61" s="1"/>
  <c r="S59" i="61" s="1"/>
  <c r="J67" i="61" a="1"/>
  <c r="J67" i="61" s="1"/>
  <c r="K67" i="61" s="1" a="1"/>
  <c r="K67" i="61" s="1"/>
  <c r="S67" i="61" s="1"/>
  <c r="J75" i="61" a="1"/>
  <c r="J75" i="61" s="1"/>
  <c r="J60" i="61" a="1"/>
  <c r="J60" i="61" s="1"/>
  <c r="K60" i="61" s="1" a="1"/>
  <c r="K60" i="61" s="1"/>
  <c r="S60" i="61" s="1"/>
  <c r="J68" i="61" a="1"/>
  <c r="J68" i="61" s="1"/>
  <c r="K68" i="61" s="1" a="1"/>
  <c r="K68" i="61" s="1"/>
  <c r="S68" i="61" s="1"/>
  <c r="J76" i="61" a="1"/>
  <c r="J76" i="61" s="1"/>
  <c r="K76" i="61" s="1" a="1"/>
  <c r="K76" i="61" s="1"/>
  <c r="S76" i="61" s="1"/>
  <c r="J61" i="61" a="1"/>
  <c r="J61" i="61" s="1"/>
  <c r="K61" i="61" s="1" a="1"/>
  <c r="K61" i="61" s="1"/>
  <c r="S61" i="61" s="1"/>
  <c r="J69" i="61" a="1"/>
  <c r="J69" i="61" s="1"/>
  <c r="J77" i="61" a="1"/>
  <c r="J77" i="61" s="1"/>
  <c r="K77" i="61" s="1" a="1"/>
  <c r="K77" i="61" s="1"/>
  <c r="S77" i="61" s="1"/>
  <c r="J62" i="61" a="1"/>
  <c r="J62" i="61" s="1"/>
  <c r="K62" i="61" s="1" a="1"/>
  <c r="K62" i="61" s="1"/>
  <c r="S62" i="61" s="1"/>
  <c r="J70" i="61" a="1"/>
  <c r="J70" i="61" s="1"/>
  <c r="J78" i="61" a="1"/>
  <c r="J78" i="61" s="1"/>
  <c r="J63" i="61" a="1"/>
  <c r="J63" i="61" s="1"/>
  <c r="J71" i="61" a="1"/>
  <c r="J71" i="61" s="1"/>
  <c r="J79" i="61" a="1"/>
  <c r="J79" i="61" s="1"/>
  <c r="J64" i="61" a="1"/>
  <c r="J64" i="61" s="1"/>
  <c r="J72" i="61" a="1"/>
  <c r="J72" i="61" s="1"/>
  <c r="J56" i="61" a="1"/>
  <c r="J56" i="61" s="1"/>
  <c r="K56" i="61" s="1" a="1"/>
  <c r="K56" i="61" s="1"/>
  <c r="F25" i="27"/>
  <c r="F23" i="27"/>
  <c r="F24" i="27"/>
  <c r="A15" i="2"/>
  <c r="F290" i="27"/>
  <c r="F291" i="27"/>
  <c r="F289" i="27"/>
  <c r="F95" i="27"/>
  <c r="F93" i="27"/>
  <c r="F94" i="27"/>
  <c r="F275" i="27"/>
  <c r="F277" i="27"/>
  <c r="F276" i="27"/>
  <c r="J150" i="61" a="1"/>
  <c r="J150" i="61" s="1"/>
  <c r="K150" i="61" s="1" a="1"/>
  <c r="K150" i="61" s="1"/>
  <c r="S150" i="61" s="1"/>
  <c r="J146" i="61" a="1"/>
  <c r="J146" i="61" s="1"/>
  <c r="K146" i="61" s="1" a="1"/>
  <c r="K146" i="61" s="1"/>
  <c r="S146" i="61" s="1"/>
  <c r="J151" i="61" a="1"/>
  <c r="J151" i="61" s="1"/>
  <c r="K151" i="61" s="1" a="1"/>
  <c r="K151" i="61" s="1"/>
  <c r="S151" i="61" s="1"/>
  <c r="J153" i="61" a="1"/>
  <c r="J153" i="61" s="1"/>
  <c r="K153" i="61" s="1" a="1"/>
  <c r="K153" i="61" s="1"/>
  <c r="S153" i="61" s="1"/>
  <c r="J145" i="61" a="1"/>
  <c r="J145" i="61" s="1"/>
  <c r="K145" i="61" s="1" a="1"/>
  <c r="K145" i="61" s="1"/>
  <c r="S145" i="61" s="1"/>
  <c r="J136" i="61" a="1"/>
  <c r="J136" i="61" s="1"/>
  <c r="K136" i="61" s="1" a="1"/>
  <c r="K136" i="61" s="1"/>
  <c r="S136" i="61" s="1"/>
  <c r="J149" i="61" a="1"/>
  <c r="J149" i="61" s="1"/>
  <c r="K149" i="61" s="1" a="1"/>
  <c r="K149" i="61" s="1"/>
  <c r="S149" i="61" s="1"/>
  <c r="J148" i="61" a="1"/>
  <c r="J148" i="61" s="1"/>
  <c r="K148" i="61" s="1" a="1"/>
  <c r="K148" i="61" s="1"/>
  <c r="S148" i="61" s="1"/>
  <c r="J134" i="61" a="1"/>
  <c r="J134" i="61" s="1"/>
  <c r="K134" i="61" s="1" a="1"/>
  <c r="K134" i="61" s="1"/>
  <c r="S134" i="61" s="1"/>
  <c r="J143" i="61" a="1"/>
  <c r="J143" i="61" s="1"/>
  <c r="K143" i="61" s="1" a="1"/>
  <c r="K143" i="61" s="1"/>
  <c r="S143" i="61" s="1"/>
  <c r="J147" i="61" a="1"/>
  <c r="J147" i="61" s="1"/>
  <c r="K147" i="61" s="1" a="1"/>
  <c r="K147" i="61" s="1"/>
  <c r="S147" i="61" s="1"/>
  <c r="J142" i="61" a="1"/>
  <c r="J142" i="61" s="1"/>
  <c r="K142" i="61" s="1" a="1"/>
  <c r="K142" i="61" s="1"/>
  <c r="S142" i="61" s="1"/>
  <c r="J140" i="61" a="1"/>
  <c r="J140" i="61" s="1"/>
  <c r="K140" i="61" s="1" a="1"/>
  <c r="K140" i="61" s="1"/>
  <c r="S140" i="61" s="1"/>
  <c r="J133" i="61" a="1"/>
  <c r="J133" i="61" s="1"/>
  <c r="K133" i="61" s="1" a="1"/>
  <c r="K133" i="61" s="1"/>
  <c r="S133" i="61" s="1"/>
  <c r="J152" i="61" a="1"/>
  <c r="J152" i="61" s="1"/>
  <c r="K152" i="61" s="1" a="1"/>
  <c r="K152" i="61" s="1"/>
  <c r="S152" i="61" s="1"/>
  <c r="J135" i="61" a="1"/>
  <c r="J135" i="61" s="1"/>
  <c r="K135" i="61" s="1" a="1"/>
  <c r="K135" i="61" s="1"/>
  <c r="S135" i="61" s="1"/>
  <c r="J138" i="61" a="1"/>
  <c r="J138" i="61" s="1"/>
  <c r="K138" i="61" s="1" a="1"/>
  <c r="K138" i="61" s="1"/>
  <c r="S138" i="61" s="1"/>
  <c r="J155" i="61" a="1"/>
  <c r="J155" i="61" s="1"/>
  <c r="K155" i="61" s="1" a="1"/>
  <c r="K155" i="61" s="1"/>
  <c r="S155" i="61" s="1"/>
  <c r="J141" i="61" a="1"/>
  <c r="J141" i="61" s="1"/>
  <c r="K141" i="61" s="1" a="1"/>
  <c r="K141" i="61" s="1"/>
  <c r="S141" i="61" s="1"/>
  <c r="J132" i="61" a="1"/>
  <c r="J132" i="61" s="1"/>
  <c r="K132" i="61" s="1" a="1"/>
  <c r="K132" i="61" s="1"/>
  <c r="S132" i="61" s="1"/>
  <c r="J131" i="61" a="1"/>
  <c r="J131" i="61" s="1"/>
  <c r="K131" i="61" s="1" a="1"/>
  <c r="K131" i="61" s="1"/>
  <c r="S131" i="61" s="1"/>
  <c r="J137" i="61" a="1"/>
  <c r="J137" i="61" s="1"/>
  <c r="K137" i="61" s="1" a="1"/>
  <c r="K137" i="61" s="1"/>
  <c r="S137" i="61" s="1"/>
  <c r="J144" i="61" a="1"/>
  <c r="J144" i="61" s="1"/>
  <c r="K144" i="61" s="1" a="1"/>
  <c r="K144" i="61" s="1"/>
  <c r="S144" i="61" s="1"/>
  <c r="J154" i="61" a="1"/>
  <c r="J154" i="61" s="1"/>
  <c r="K154" i="61" s="1" a="1"/>
  <c r="K154" i="61" s="1"/>
  <c r="S154" i="61" s="1"/>
  <c r="J139" i="61" a="1"/>
  <c r="J139" i="61" s="1"/>
  <c r="K139" i="61" s="1" a="1"/>
  <c r="K139" i="61" s="1"/>
  <c r="S139" i="61" s="1"/>
  <c r="F191" i="27"/>
  <c r="F192" i="27"/>
  <c r="F193" i="27"/>
  <c r="J17" i="61" a="1"/>
  <c r="J17" i="61" s="1"/>
  <c r="K17" i="61" s="1" a="1"/>
  <c r="K17" i="61" s="1"/>
  <c r="J20" i="61" a="1"/>
  <c r="J20" i="61" s="1"/>
  <c r="K20" i="61" s="1" a="1"/>
  <c r="K20" i="61" s="1"/>
  <c r="J10" i="61" a="1"/>
  <c r="J10" i="61" s="1"/>
  <c r="K10" i="61" s="1" a="1"/>
  <c r="K10" i="61" s="1"/>
  <c r="J8" i="61" a="1"/>
  <c r="J8" i="61" s="1"/>
  <c r="K8" i="61" s="1" a="1"/>
  <c r="K8" i="61" s="1"/>
  <c r="J15" i="61" a="1"/>
  <c r="J15" i="61" s="1"/>
  <c r="K15" i="61" s="1" a="1"/>
  <c r="K15" i="61" s="1"/>
  <c r="J28" i="61" a="1"/>
  <c r="J28" i="61" s="1"/>
  <c r="K28" i="61" s="1" a="1"/>
  <c r="K28" i="61" s="1"/>
  <c r="J7" i="61" a="1"/>
  <c r="J7" i="61" s="1"/>
  <c r="K7" i="61" s="1" a="1"/>
  <c r="K7" i="61" s="1"/>
  <c r="J16" i="61" a="1"/>
  <c r="J16" i="61" s="1"/>
  <c r="K16" i="61" s="1" a="1"/>
  <c r="K16" i="61" s="1"/>
  <c r="J23" i="61" a="1"/>
  <c r="J23" i="61" s="1"/>
  <c r="K23" i="61" s="1" a="1"/>
  <c r="K23" i="61" s="1"/>
  <c r="J25" i="61" a="1"/>
  <c r="J25" i="61" s="1"/>
  <c r="K25" i="61" s="1" a="1"/>
  <c r="K25" i="61" s="1"/>
  <c r="J26" i="61" a="1"/>
  <c r="J26" i="61" s="1"/>
  <c r="K26" i="61" s="1" a="1"/>
  <c r="K26" i="61" s="1"/>
  <c r="J19" i="61" a="1"/>
  <c r="J19" i="61" s="1"/>
  <c r="K19" i="61" s="1" a="1"/>
  <c r="K19" i="61" s="1"/>
  <c r="J6" i="61" a="1"/>
  <c r="J6" i="61" s="1"/>
  <c r="K6" i="61" s="1" a="1"/>
  <c r="K6" i="61" s="1"/>
  <c r="J29" i="61" a="1"/>
  <c r="J29" i="61" s="1"/>
  <c r="K29" i="61" s="1" a="1"/>
  <c r="K29" i="61" s="1"/>
  <c r="J12" i="61" a="1"/>
  <c r="J12" i="61" s="1"/>
  <c r="K12" i="61" s="1" a="1"/>
  <c r="K12" i="61" s="1"/>
  <c r="J9" i="61" a="1"/>
  <c r="J9" i="61" s="1"/>
  <c r="K9" i="61" s="1" a="1"/>
  <c r="K9" i="61" s="1"/>
  <c r="J27" i="61" a="1"/>
  <c r="J27" i="61" s="1"/>
  <c r="K27" i="61" s="1" a="1"/>
  <c r="K27" i="61" s="1"/>
  <c r="J24" i="61" a="1"/>
  <c r="J24" i="61" s="1"/>
  <c r="K24" i="61" s="1" a="1"/>
  <c r="K24" i="61" s="1"/>
  <c r="J18" i="61" a="1"/>
  <c r="J18" i="61" s="1"/>
  <c r="K18" i="61" s="1" a="1"/>
  <c r="K18" i="61" s="1"/>
  <c r="J21" i="61" a="1"/>
  <c r="J21" i="61" s="1"/>
  <c r="K21" i="61" s="1" a="1"/>
  <c r="K21" i="61" s="1"/>
  <c r="J14" i="61" a="1"/>
  <c r="J14" i="61" s="1"/>
  <c r="K14" i="61" s="1" a="1"/>
  <c r="K14" i="61" s="1"/>
  <c r="J22" i="61" a="1"/>
  <c r="J22" i="61" s="1"/>
  <c r="K22" i="61" s="1" a="1"/>
  <c r="K22" i="61" s="1"/>
  <c r="J11" i="61" a="1"/>
  <c r="J11" i="61" s="1"/>
  <c r="K11" i="61" s="1" a="1"/>
  <c r="K11" i="61" s="1"/>
  <c r="J13" i="61" a="1"/>
  <c r="J13" i="61" s="1"/>
  <c r="K13" i="61" s="1" a="1"/>
  <c r="K13" i="61" s="1"/>
  <c r="J30" i="61" a="1"/>
  <c r="J30" i="61" s="1"/>
  <c r="K30" i="61" s="1" a="1"/>
  <c r="K30" i="61" s="1"/>
  <c r="F165" i="27"/>
  <c r="F164" i="27"/>
  <c r="F163" i="27"/>
  <c r="A28" i="2"/>
  <c r="A24" i="2"/>
  <c r="F318" i="27"/>
  <c r="F319" i="27"/>
  <c r="F317" i="27"/>
  <c r="A29" i="2"/>
  <c r="F51" i="27"/>
  <c r="F52" i="27"/>
  <c r="F53" i="27"/>
  <c r="F150" i="27"/>
  <c r="F151" i="27"/>
  <c r="F149" i="27"/>
  <c r="A26" i="2"/>
  <c r="A23" i="2"/>
  <c r="A13" i="2"/>
  <c r="F233" i="27"/>
  <c r="F234" i="27"/>
  <c r="F235" i="27"/>
  <c r="F39" i="27"/>
  <c r="F37" i="27"/>
  <c r="F38" i="27"/>
  <c r="J111" i="61" a="1"/>
  <c r="J111" i="61" s="1"/>
  <c r="K111" i="61" s="1" a="1"/>
  <c r="K111" i="61" s="1"/>
  <c r="S111" i="61" s="1"/>
  <c r="J126" i="61" a="1"/>
  <c r="J126" i="61" s="1"/>
  <c r="K126" i="61" s="1" a="1"/>
  <c r="K126" i="61" s="1"/>
  <c r="S126" i="61" s="1"/>
  <c r="J128" i="61" a="1"/>
  <c r="J128" i="61" s="1"/>
  <c r="K128" i="61" s="1" a="1"/>
  <c r="K128" i="61" s="1"/>
  <c r="S128" i="61" s="1"/>
  <c r="J121" i="61" a="1"/>
  <c r="J121" i="61" s="1"/>
  <c r="K121" i="61" s="1" a="1"/>
  <c r="K121" i="61" s="1"/>
  <c r="S121" i="61" s="1"/>
  <c r="J127" i="61" a="1"/>
  <c r="J127" i="61" s="1"/>
  <c r="K127" i="61" s="1" a="1"/>
  <c r="K127" i="61" s="1"/>
  <c r="S127" i="61" s="1"/>
  <c r="J118" i="61" a="1"/>
  <c r="J118" i="61" s="1"/>
  <c r="K118" i="61" s="1" a="1"/>
  <c r="K118" i="61" s="1"/>
  <c r="S118" i="61" s="1"/>
  <c r="J123" i="61" a="1"/>
  <c r="J123" i="61" s="1"/>
  <c r="K123" i="61" s="1" a="1"/>
  <c r="K123" i="61" s="1"/>
  <c r="S123" i="61" s="1"/>
  <c r="J124" i="61" a="1"/>
  <c r="J124" i="61" s="1"/>
  <c r="K124" i="61" s="1" a="1"/>
  <c r="K124" i="61" s="1"/>
  <c r="S124" i="61" s="1"/>
  <c r="J108" i="61" a="1"/>
  <c r="J108" i="61" s="1"/>
  <c r="K108" i="61" s="1" a="1"/>
  <c r="K108" i="61" s="1"/>
  <c r="S108" i="61" s="1"/>
  <c r="J117" i="61" a="1"/>
  <c r="J117" i="61" s="1"/>
  <c r="K117" i="61" s="1" a="1"/>
  <c r="K117" i="61" s="1"/>
  <c r="S117" i="61" s="1"/>
  <c r="J115" i="61" a="1"/>
  <c r="J115" i="61" s="1"/>
  <c r="K115" i="61" s="1" a="1"/>
  <c r="K115" i="61" s="1"/>
  <c r="S115" i="61" s="1"/>
  <c r="J106" i="61" a="1"/>
  <c r="J106" i="61" s="1"/>
  <c r="K106" i="61" s="1" a="1"/>
  <c r="K106" i="61" s="1"/>
  <c r="S106" i="61" s="1"/>
  <c r="J122" i="61" a="1"/>
  <c r="J122" i="61" s="1"/>
  <c r="K122" i="61" s="1" a="1"/>
  <c r="K122" i="61" s="1"/>
  <c r="S122" i="61" s="1"/>
  <c r="J116" i="61" a="1"/>
  <c r="J116" i="61" s="1"/>
  <c r="K116" i="61" s="1" a="1"/>
  <c r="K116" i="61" s="1"/>
  <c r="S116" i="61" s="1"/>
  <c r="J109" i="61" a="1"/>
  <c r="J109" i="61" s="1"/>
  <c r="K109" i="61" s="1" a="1"/>
  <c r="K109" i="61" s="1"/>
  <c r="S109" i="61" s="1"/>
  <c r="J125" i="61" a="1"/>
  <c r="J125" i="61" s="1"/>
  <c r="K125" i="61" s="1" a="1"/>
  <c r="K125" i="61" s="1"/>
  <c r="S125" i="61" s="1"/>
  <c r="J120" i="61" a="1"/>
  <c r="J120" i="61" s="1"/>
  <c r="K120" i="61" s="1" a="1"/>
  <c r="K120" i="61" s="1"/>
  <c r="S120" i="61" s="1"/>
  <c r="J114" i="61" a="1"/>
  <c r="J114" i="61" s="1"/>
  <c r="K114" i="61" s="1" a="1"/>
  <c r="K114" i="61" s="1"/>
  <c r="S114" i="61" s="1"/>
  <c r="J129" i="61" a="1"/>
  <c r="J129" i="61" s="1"/>
  <c r="K129" i="61" s="1" a="1"/>
  <c r="K129" i="61" s="1"/>
  <c r="S129" i="61" s="1"/>
  <c r="J119" i="61" a="1"/>
  <c r="J119" i="61" s="1"/>
  <c r="K119" i="61" s="1" a="1"/>
  <c r="K119" i="61" s="1"/>
  <c r="S119" i="61" s="1"/>
  <c r="J110" i="61" a="1"/>
  <c r="J110" i="61" s="1"/>
  <c r="K110" i="61" s="1" a="1"/>
  <c r="K110" i="61" s="1"/>
  <c r="S110" i="61" s="1"/>
  <c r="J113" i="61" a="1"/>
  <c r="J113" i="61" s="1"/>
  <c r="K113" i="61" s="1" a="1"/>
  <c r="K113" i="61" s="1"/>
  <c r="S113" i="61" s="1"/>
  <c r="J107" i="61" a="1"/>
  <c r="J107" i="61" s="1"/>
  <c r="K107" i="61" s="1" a="1"/>
  <c r="K107" i="61" s="1"/>
  <c r="S107" i="61" s="1"/>
  <c r="J130" i="61" a="1"/>
  <c r="J130" i="61" s="1"/>
  <c r="K130" i="61" s="1" a="1"/>
  <c r="K130" i="61" s="1"/>
  <c r="S130" i="61" s="1"/>
  <c r="J112" i="61" a="1"/>
  <c r="J112" i="61" s="1"/>
  <c r="K112" i="61" s="1" a="1"/>
  <c r="K112" i="61" s="1"/>
  <c r="S112" i="61" s="1"/>
  <c r="A25" i="2"/>
  <c r="A9" i="2"/>
  <c r="F305" i="27"/>
  <c r="F303" i="27"/>
  <c r="F304" i="27"/>
  <c r="F123" i="27"/>
  <c r="F122" i="27"/>
  <c r="F121" i="27"/>
  <c r="A30" i="2"/>
  <c r="A17" i="2"/>
  <c r="A20" i="2"/>
  <c r="F333" i="27"/>
  <c r="F331" i="27"/>
  <c r="F332" i="27"/>
  <c r="F179" i="27"/>
  <c r="F177" i="27"/>
  <c r="F178" i="27"/>
  <c r="A16" i="2"/>
  <c r="A11" i="2"/>
  <c r="A27" i="2"/>
  <c r="F263" i="27"/>
  <c r="F262" i="27"/>
  <c r="F261" i="27"/>
  <c r="F11" i="27"/>
  <c r="F9" i="27"/>
  <c r="F10" i="27"/>
  <c r="K71" i="61" a="1"/>
  <c r="K71" i="61" s="1"/>
  <c r="S71" i="61" s="1"/>
  <c r="K65" i="61" a="1"/>
  <c r="K65" i="61" s="1"/>
  <c r="S65" i="61" s="1"/>
  <c r="K72" i="61" a="1"/>
  <c r="K72" i="61" s="1"/>
  <c r="S72" i="61" s="1"/>
  <c r="K70" i="61" a="1"/>
  <c r="K70" i="61" s="1"/>
  <c r="S70" i="61" s="1"/>
  <c r="K78" i="61" a="1"/>
  <c r="K78" i="61" s="1"/>
  <c r="S78" i="61" s="1"/>
  <c r="K64" i="61" a="1"/>
  <c r="K64" i="61" s="1"/>
  <c r="S64" i="61" s="1"/>
  <c r="K63" i="61" a="1"/>
  <c r="K63" i="61" s="1"/>
  <c r="S63" i="61" s="1"/>
  <c r="K66" i="61" a="1"/>
  <c r="K66" i="61" s="1"/>
  <c r="S66" i="61" s="1"/>
  <c r="K69" i="61" a="1"/>
  <c r="K69" i="61" s="1"/>
  <c r="S69" i="61" s="1"/>
  <c r="K75" i="61" a="1"/>
  <c r="K75" i="61" s="1"/>
  <c r="S75" i="61" s="1"/>
  <c r="K79" i="61" a="1"/>
  <c r="K79" i="61" s="1"/>
  <c r="S79" i="61" s="1"/>
  <c r="K58" i="61" a="1"/>
  <c r="K58" i="61" s="1"/>
  <c r="K57" i="61" a="1"/>
  <c r="K57" i="61" s="1"/>
  <c r="A12" i="2"/>
  <c r="A10" i="2"/>
  <c r="A22" i="2"/>
  <c r="E6" i="61"/>
  <c r="F65" i="27"/>
  <c r="F66" i="27"/>
  <c r="F67" i="27"/>
  <c r="F81" i="27"/>
  <c r="F79" i="27"/>
  <c r="F80" i="27"/>
  <c r="A19" i="2"/>
  <c r="J89" i="61" a="1"/>
  <c r="J89" i="61" s="1"/>
  <c r="K89" i="61" s="1" a="1"/>
  <c r="K89" i="61" s="1"/>
  <c r="S89" i="61" s="1"/>
  <c r="J105" i="61" a="1"/>
  <c r="J105" i="61" s="1"/>
  <c r="K105" i="61" s="1" a="1"/>
  <c r="K105" i="61" s="1"/>
  <c r="S105" i="61" s="1"/>
  <c r="J102" i="61" a="1"/>
  <c r="J102" i="61" s="1"/>
  <c r="K102" i="61" s="1" a="1"/>
  <c r="K102" i="61" s="1"/>
  <c r="S102" i="61" s="1"/>
  <c r="J84" i="61" a="1"/>
  <c r="J84" i="61" s="1"/>
  <c r="K84" i="61" s="1" a="1"/>
  <c r="K84" i="61" s="1"/>
  <c r="S84" i="61" s="1"/>
  <c r="J100" i="61" a="1"/>
  <c r="J100" i="61" s="1"/>
  <c r="K100" i="61" s="1" a="1"/>
  <c r="K100" i="61" s="1"/>
  <c r="S100" i="61" s="1"/>
  <c r="J90" i="61" a="1"/>
  <c r="J90" i="61" s="1"/>
  <c r="K90" i="61" s="1" a="1"/>
  <c r="K90" i="61" s="1"/>
  <c r="S90" i="61" s="1"/>
  <c r="J97" i="61" a="1"/>
  <c r="J97" i="61" s="1"/>
  <c r="K97" i="61" s="1" a="1"/>
  <c r="K97" i="61" s="1"/>
  <c r="S97" i="61" s="1"/>
  <c r="J98" i="61" a="1"/>
  <c r="J98" i="61" s="1"/>
  <c r="K98" i="61" s="1" a="1"/>
  <c r="K98" i="61" s="1"/>
  <c r="S98" i="61" s="1"/>
  <c r="J92" i="61" a="1"/>
  <c r="J92" i="61" s="1"/>
  <c r="K92" i="61" s="1" a="1"/>
  <c r="K92" i="61" s="1"/>
  <c r="S92" i="61" s="1"/>
  <c r="J96" i="61" a="1"/>
  <c r="J96" i="61" s="1"/>
  <c r="K96" i="61" s="1" a="1"/>
  <c r="K96" i="61" s="1"/>
  <c r="S96" i="61" s="1"/>
  <c r="J91" i="61" a="1"/>
  <c r="J91" i="61" s="1"/>
  <c r="K91" i="61" s="1" a="1"/>
  <c r="K91" i="61" s="1"/>
  <c r="S91" i="61" s="1"/>
  <c r="J99" i="61" a="1"/>
  <c r="J99" i="61" s="1"/>
  <c r="K99" i="61" s="1" a="1"/>
  <c r="K99" i="61" s="1"/>
  <c r="S99" i="61" s="1"/>
  <c r="J85" i="61" a="1"/>
  <c r="J85" i="61" s="1"/>
  <c r="K85" i="61" s="1" a="1"/>
  <c r="K85" i="61" s="1"/>
  <c r="S85" i="61" s="1"/>
  <c r="J93" i="61" a="1"/>
  <c r="J93" i="61" s="1"/>
  <c r="K93" i="61" s="1" a="1"/>
  <c r="K93" i="61" s="1"/>
  <c r="S93" i="61" s="1"/>
  <c r="J104" i="61" a="1"/>
  <c r="J104" i="61" s="1"/>
  <c r="K104" i="61" s="1" a="1"/>
  <c r="K104" i="61" s="1"/>
  <c r="S104" i="61" s="1"/>
  <c r="J87" i="61" a="1"/>
  <c r="J87" i="61" s="1"/>
  <c r="K87" i="61" s="1" a="1"/>
  <c r="K87" i="61" s="1"/>
  <c r="S87" i="61" s="1"/>
  <c r="J95" i="61" a="1"/>
  <c r="J95" i="61" s="1"/>
  <c r="K95" i="61" s="1" a="1"/>
  <c r="K95" i="61" s="1"/>
  <c r="S95" i="61" s="1"/>
  <c r="J86" i="61" a="1"/>
  <c r="J86" i="61" s="1"/>
  <c r="K86" i="61" s="1" a="1"/>
  <c r="K86" i="61" s="1"/>
  <c r="S86" i="61" s="1"/>
  <c r="J88" i="61" a="1"/>
  <c r="J88" i="61" s="1"/>
  <c r="K88" i="61" s="1" a="1"/>
  <c r="K88" i="61" s="1"/>
  <c r="S88" i="61" s="1"/>
  <c r="J103" i="61" a="1"/>
  <c r="J103" i="61" s="1"/>
  <c r="K103" i="61" s="1" a="1"/>
  <c r="K103" i="61" s="1"/>
  <c r="S103" i="61" s="1"/>
  <c r="J94" i="61" a="1"/>
  <c r="J94" i="61" s="1"/>
  <c r="K94" i="61" s="1" a="1"/>
  <c r="K94" i="61" s="1"/>
  <c r="S94" i="61" s="1"/>
  <c r="J101" i="61" a="1"/>
  <c r="J101" i="61" s="1"/>
  <c r="K101" i="61" s="1" a="1"/>
  <c r="K101" i="61" s="1"/>
  <c r="S101" i="61" s="1"/>
  <c r="F345" i="27"/>
  <c r="F347" i="27"/>
  <c r="F346" i="27"/>
  <c r="F206" i="27"/>
  <c r="F205" i="27"/>
  <c r="F207" i="27"/>
  <c r="A31" i="2"/>
  <c r="A14" i="2"/>
  <c r="A18" i="2"/>
  <c r="A8" i="2"/>
  <c r="A21" i="2"/>
  <c r="F248" i="27"/>
  <c r="F249" i="27"/>
  <c r="F247" i="27"/>
  <c r="F136" i="27"/>
  <c r="F137" i="27"/>
  <c r="F135" i="27"/>
  <c r="A7" i="2"/>
  <c r="J36" i="61" a="1"/>
  <c r="J36" i="61" s="1"/>
  <c r="K36" i="61" s="1" a="1"/>
  <c r="K36" i="61" s="1"/>
  <c r="S36" i="61" s="1"/>
  <c r="J49" i="61" a="1"/>
  <c r="J49" i="61" s="1"/>
  <c r="K49" i="61" s="1" a="1"/>
  <c r="K49" i="61" s="1"/>
  <c r="S49" i="61" s="1"/>
  <c r="J38" i="61" a="1"/>
  <c r="J38" i="61" s="1"/>
  <c r="K38" i="61" s="1" a="1"/>
  <c r="K38" i="61" s="1"/>
  <c r="S38" i="61" s="1"/>
  <c r="J37" i="61" a="1"/>
  <c r="J37" i="61" s="1"/>
  <c r="K37" i="61" s="1" a="1"/>
  <c r="K37" i="61" s="1"/>
  <c r="S37" i="61" s="1"/>
  <c r="J47" i="61" a="1"/>
  <c r="J47" i="61" s="1"/>
  <c r="K47" i="61" s="1" a="1"/>
  <c r="K47" i="61" s="1"/>
  <c r="S47" i="61" s="1"/>
  <c r="J43" i="61" a="1"/>
  <c r="J43" i="61" s="1"/>
  <c r="K43" i="61" s="1" a="1"/>
  <c r="K43" i="61" s="1"/>
  <c r="S43" i="61" s="1"/>
  <c r="J48" i="61" a="1"/>
  <c r="J48" i="61" s="1"/>
  <c r="K48" i="61" s="1" a="1"/>
  <c r="K48" i="61" s="1"/>
  <c r="S48" i="61" s="1"/>
  <c r="J31" i="61" a="1"/>
  <c r="J31" i="61" s="1"/>
  <c r="K31" i="61" s="1" a="1"/>
  <c r="K31" i="61" s="1"/>
  <c r="J55" i="61" a="1"/>
  <c r="J55" i="61" s="1"/>
  <c r="K55" i="61" s="1" a="1"/>
  <c r="K55" i="61" s="1"/>
  <c r="S55" i="61" s="1"/>
  <c r="J50" i="61" a="1"/>
  <c r="J50" i="61" s="1"/>
  <c r="J34" i="61" a="1"/>
  <c r="J34" i="61" s="1"/>
  <c r="K34" i="61" s="1" a="1"/>
  <c r="K34" i="61" s="1"/>
  <c r="S34" i="61" s="1"/>
  <c r="J41" i="61" a="1"/>
  <c r="J41" i="61" s="1"/>
  <c r="K41" i="61" s="1" a="1"/>
  <c r="K41" i="61" s="1"/>
  <c r="S41" i="61" s="1"/>
  <c r="J39" i="61" a="1"/>
  <c r="J39" i="61" s="1"/>
  <c r="K39" i="61" s="1" a="1"/>
  <c r="K39" i="61" s="1"/>
  <c r="S39" i="61" s="1"/>
  <c r="J51" i="61" a="1"/>
  <c r="J51" i="61" s="1"/>
  <c r="J44" i="61" a="1"/>
  <c r="J44" i="61" s="1"/>
  <c r="K44" i="61" s="1" a="1"/>
  <c r="K44" i="61" s="1"/>
  <c r="S44" i="61" s="1"/>
  <c r="J33" i="61" a="1"/>
  <c r="J33" i="61" s="1"/>
  <c r="K33" i="61" s="1" a="1"/>
  <c r="K33" i="61" s="1"/>
  <c r="S33" i="61" s="1"/>
  <c r="J53" i="61" a="1"/>
  <c r="J53" i="61" s="1"/>
  <c r="J45" i="61" a="1"/>
  <c r="J45" i="61" s="1"/>
  <c r="K45" i="61" s="1" a="1"/>
  <c r="K45" i="61" s="1"/>
  <c r="S45" i="61" s="1"/>
  <c r="J46" i="61" a="1"/>
  <c r="J46" i="61" s="1"/>
  <c r="K46" i="61" s="1" a="1"/>
  <c r="K46" i="61" s="1"/>
  <c r="S46" i="61" s="1"/>
  <c r="J40" i="61" a="1"/>
  <c r="J40" i="61" s="1"/>
  <c r="K40" i="61" s="1" a="1"/>
  <c r="K40" i="61" s="1"/>
  <c r="S40" i="61" s="1"/>
  <c r="J42" i="61" a="1"/>
  <c r="J42" i="61" s="1"/>
  <c r="K42" i="61" s="1" a="1"/>
  <c r="K42" i="61" s="1"/>
  <c r="S42" i="61" s="1"/>
  <c r="J35" i="61" a="1"/>
  <c r="J35" i="61" s="1"/>
  <c r="K35" i="61" s="1" a="1"/>
  <c r="K35" i="61" s="1"/>
  <c r="S35" i="61" s="1"/>
  <c r="J52" i="61" a="1"/>
  <c r="J52" i="61" s="1"/>
  <c r="J54" i="61" a="1"/>
  <c r="J54" i="61" s="1"/>
  <c r="K54" i="61" s="1" a="1"/>
  <c r="K54" i="61" s="1"/>
  <c r="S54" i="61" s="1"/>
  <c r="J32" i="61" a="1"/>
  <c r="J32" i="61" s="1"/>
  <c r="K32" i="61" s="1" a="1"/>
  <c r="K32" i="61" s="1"/>
  <c r="F220" i="27"/>
  <c r="F219" i="27"/>
  <c r="F221" i="27"/>
  <c r="F107" i="27"/>
  <c r="F109" i="27"/>
  <c r="F108" i="27"/>
  <c r="K51" i="61" l="1" a="1"/>
  <c r="K51" i="61" s="1"/>
  <c r="S51" i="61" s="1"/>
  <c r="K81" i="61" a="1"/>
  <c r="K81" i="61" s="1"/>
  <c r="K50" i="61" a="1"/>
  <c r="K50" i="61" s="1"/>
  <c r="S50" i="61" s="1"/>
  <c r="K80" i="61" a="1"/>
  <c r="K80" i="61" s="1"/>
  <c r="S80" i="61" s="1"/>
  <c r="K52" i="61" a="1"/>
  <c r="K52" i="61" s="1"/>
  <c r="S52" i="61" s="1"/>
  <c r="K82" i="61" a="1"/>
  <c r="K82" i="61" s="1"/>
  <c r="K53" i="61" a="1"/>
  <c r="K53" i="61" s="1"/>
  <c r="S53" i="61" s="1"/>
  <c r="K83" i="61" a="1"/>
  <c r="K83" i="61" s="1"/>
  <c r="S83" i="61" s="1"/>
  <c r="G179" i="27"/>
  <c r="C179" i="27"/>
  <c r="H179" i="27"/>
  <c r="D179" i="27"/>
  <c r="R35" i="61"/>
  <c r="M35" i="61" a="1"/>
  <c r="M35" i="61" s="1"/>
  <c r="L35" i="61" a="1"/>
  <c r="L35" i="61" s="1"/>
  <c r="L43" i="61" a="1"/>
  <c r="L43" i="61" s="1"/>
  <c r="R43" i="61"/>
  <c r="M43" i="61" a="1"/>
  <c r="M43" i="61" s="1"/>
  <c r="C247" i="27"/>
  <c r="H247" i="27"/>
  <c r="M86" i="61" a="1"/>
  <c r="M86" i="61" s="1"/>
  <c r="R86" i="61"/>
  <c r="L86" i="61" a="1"/>
  <c r="L86" i="61" s="1"/>
  <c r="L105" i="61" a="1"/>
  <c r="L105" i="61" s="1"/>
  <c r="M105" i="61" a="1"/>
  <c r="M105" i="61" s="1"/>
  <c r="R105" i="61"/>
  <c r="H65" i="27"/>
  <c r="C65" i="27"/>
  <c r="R59" i="61"/>
  <c r="L59" i="61" a="1"/>
  <c r="L59" i="61" s="1"/>
  <c r="M59" i="61" a="1"/>
  <c r="M59" i="61" s="1"/>
  <c r="R71" i="61"/>
  <c r="M71" i="61" a="1"/>
  <c r="M71" i="61" s="1"/>
  <c r="L71" i="61" a="1"/>
  <c r="L71" i="61" s="1"/>
  <c r="G305" i="27"/>
  <c r="H305" i="27"/>
  <c r="D305" i="27"/>
  <c r="C305" i="27"/>
  <c r="R116" i="61"/>
  <c r="L116" i="61" a="1"/>
  <c r="L116" i="61" s="1"/>
  <c r="M11" i="61" a="1"/>
  <c r="L11" i="61" a="1"/>
  <c r="L11" i="61" s="1"/>
  <c r="L7" i="61" a="1"/>
  <c r="L7" i="61" s="1"/>
  <c r="M7" i="61" a="1"/>
  <c r="R137" i="61"/>
  <c r="L137" i="61" a="1"/>
  <c r="L137" i="61" s="1"/>
  <c r="L136" i="61" a="1"/>
  <c r="L136" i="61" s="1"/>
  <c r="R136" i="61"/>
  <c r="C93" i="27"/>
  <c r="H93" i="27"/>
  <c r="M95" i="61" a="1"/>
  <c r="M95" i="61" s="1"/>
  <c r="L95" i="61" a="1"/>
  <c r="L95" i="61" s="1"/>
  <c r="R95" i="61"/>
  <c r="H149" i="27"/>
  <c r="C149" i="27"/>
  <c r="R145" i="61"/>
  <c r="L145" i="61" a="1"/>
  <c r="L145" i="61" s="1"/>
  <c r="G95" i="27"/>
  <c r="C95" i="27"/>
  <c r="D95" i="27"/>
  <c r="H95" i="27"/>
  <c r="L40" i="61" a="1"/>
  <c r="L40" i="61" s="1"/>
  <c r="R40" i="61"/>
  <c r="M40" i="61" a="1"/>
  <c r="M40" i="61" s="1"/>
  <c r="R37" i="61"/>
  <c r="L37" i="61" a="1"/>
  <c r="L37" i="61" s="1"/>
  <c r="M37" i="61" a="1"/>
  <c r="M37" i="61" s="1"/>
  <c r="C205" i="27"/>
  <c r="H205" i="27"/>
  <c r="R87" i="61"/>
  <c r="L87" i="61" a="1"/>
  <c r="L87" i="61" s="1"/>
  <c r="M87" i="61" a="1"/>
  <c r="M87" i="61" s="1"/>
  <c r="L81" i="61" a="1"/>
  <c r="L81" i="61" s="1"/>
  <c r="M81" i="61" a="1"/>
  <c r="M81" i="61" s="1"/>
  <c r="M63" i="61" a="1"/>
  <c r="M63" i="61" s="1"/>
  <c r="L63" i="61" a="1"/>
  <c r="L63" i="61" s="1"/>
  <c r="R63" i="61"/>
  <c r="R106" i="61"/>
  <c r="L106" i="61" a="1"/>
  <c r="L106" i="61" s="1"/>
  <c r="H37" i="27"/>
  <c r="C37" i="27"/>
  <c r="C319" i="27"/>
  <c r="D319" i="27"/>
  <c r="H319" i="27"/>
  <c r="G319" i="27"/>
  <c r="M14" i="61" a="1"/>
  <c r="M14" i="61" s="1"/>
  <c r="L14" i="61" a="1"/>
  <c r="L14" i="61" s="1"/>
  <c r="S14" i="61"/>
  <c r="R14" i="61"/>
  <c r="L15" i="61" a="1"/>
  <c r="L15" i="61" s="1"/>
  <c r="M15" i="61" a="1"/>
  <c r="M15" i="61" s="1"/>
  <c r="R15" i="61"/>
  <c r="S15" i="61"/>
  <c r="L132" i="61" a="1"/>
  <c r="L132" i="61" s="1"/>
  <c r="R132" i="61"/>
  <c r="R153" i="61"/>
  <c r="L153" i="61" a="1"/>
  <c r="L153" i="61" s="1"/>
  <c r="S28" i="61"/>
  <c r="L28" i="61" a="1"/>
  <c r="L28" i="61" s="1"/>
  <c r="M28" i="61" a="1"/>
  <c r="M28" i="61" s="1"/>
  <c r="R28" i="61"/>
  <c r="D206" i="27"/>
  <c r="G206" i="27"/>
  <c r="C206" i="27"/>
  <c r="H206" i="27"/>
  <c r="R104" i="61"/>
  <c r="M104" i="61" a="1"/>
  <c r="M104" i="61" s="1"/>
  <c r="L104" i="61" a="1"/>
  <c r="L104" i="61" s="1"/>
  <c r="R77" i="61"/>
  <c r="M77" i="61" a="1"/>
  <c r="M77" i="61" s="1"/>
  <c r="L77" i="61" a="1"/>
  <c r="L77" i="61" s="1"/>
  <c r="L115" i="61" a="1"/>
  <c r="L115" i="61" s="1"/>
  <c r="R115" i="61"/>
  <c r="H39" i="27"/>
  <c r="G39" i="27"/>
  <c r="D39" i="27"/>
  <c r="C39" i="27"/>
  <c r="G318" i="27"/>
  <c r="D318" i="27"/>
  <c r="C318" i="27"/>
  <c r="H318" i="27"/>
  <c r="S21" i="61"/>
  <c r="R21" i="61"/>
  <c r="M21" i="61" a="1"/>
  <c r="M21" i="61" s="1"/>
  <c r="L21" i="61" a="1"/>
  <c r="L21" i="61" s="1"/>
  <c r="M8" i="61" a="1"/>
  <c r="L8" i="61" a="1"/>
  <c r="L8" i="61" s="1"/>
  <c r="R141" i="61"/>
  <c r="L141" i="61" a="1"/>
  <c r="L141" i="61" s="1"/>
  <c r="R151" i="61"/>
  <c r="L151" i="61" a="1"/>
  <c r="L151" i="61" s="1"/>
  <c r="M66" i="61" a="1"/>
  <c r="M66" i="61" s="1"/>
  <c r="R66" i="61"/>
  <c r="L66" i="61" a="1"/>
  <c r="L66" i="61" s="1"/>
  <c r="R131" i="61"/>
  <c r="L131" i="61" a="1"/>
  <c r="L131" i="61" s="1"/>
  <c r="L46" i="61" a="1"/>
  <c r="L46" i="61" s="1"/>
  <c r="R46" i="61"/>
  <c r="M46" i="61" a="1"/>
  <c r="M46" i="61" s="1"/>
  <c r="M38" i="61" a="1"/>
  <c r="M38" i="61" s="1"/>
  <c r="L38" i="61" a="1"/>
  <c r="L38" i="61" s="1"/>
  <c r="R38" i="61"/>
  <c r="D108" i="27"/>
  <c r="C108" i="27"/>
  <c r="H108" i="27"/>
  <c r="G108" i="27"/>
  <c r="L45" i="61" a="1"/>
  <c r="L45" i="61" s="1"/>
  <c r="M45" i="61" a="1"/>
  <c r="M45" i="61" s="1"/>
  <c r="R45" i="61"/>
  <c r="L49" i="61" a="1"/>
  <c r="L49" i="61" s="1"/>
  <c r="M49" i="61" a="1"/>
  <c r="M49" i="61" s="1"/>
  <c r="R49" i="61"/>
  <c r="M93" i="61" a="1"/>
  <c r="M93" i="61" s="1"/>
  <c r="R93" i="61"/>
  <c r="L93" i="61" a="1"/>
  <c r="L93" i="61" s="1"/>
  <c r="R73" i="61"/>
  <c r="M73" i="61" a="1"/>
  <c r="M73" i="61" s="1"/>
  <c r="L73" i="61" a="1"/>
  <c r="L73" i="61" s="1"/>
  <c r="C10" i="27"/>
  <c r="G10" i="27"/>
  <c r="D10" i="27"/>
  <c r="H10" i="27"/>
  <c r="R117" i="61"/>
  <c r="L117" i="61" a="1"/>
  <c r="L117" i="61" s="1"/>
  <c r="G151" i="27"/>
  <c r="C151" i="27"/>
  <c r="D151" i="27"/>
  <c r="H151" i="27"/>
  <c r="S18" i="61"/>
  <c r="R18" i="61"/>
  <c r="L18" i="61" a="1"/>
  <c r="L18" i="61" s="1"/>
  <c r="M18" i="61" a="1"/>
  <c r="M18" i="61" s="1"/>
  <c r="M10" i="61" a="1"/>
  <c r="L10" i="61" a="1"/>
  <c r="L10" i="61" s="1"/>
  <c r="R155" i="61"/>
  <c r="L155" i="61" a="1"/>
  <c r="L155" i="61" s="1"/>
  <c r="R146" i="61"/>
  <c r="L146" i="61" a="1"/>
  <c r="L146" i="61" s="1"/>
  <c r="D207" i="27"/>
  <c r="H207" i="27"/>
  <c r="G207" i="27"/>
  <c r="C207" i="27"/>
  <c r="H248" i="27"/>
  <c r="D248" i="27"/>
  <c r="C248" i="27"/>
  <c r="G248" i="27"/>
  <c r="C109" i="27"/>
  <c r="D109" i="27"/>
  <c r="H109" i="27"/>
  <c r="G109" i="27"/>
  <c r="M53" i="61" a="1"/>
  <c r="M53" i="61" s="1"/>
  <c r="L53" i="61" a="1"/>
  <c r="L53" i="61" s="1"/>
  <c r="R36" i="61"/>
  <c r="L36" i="61" a="1"/>
  <c r="L36" i="61" s="1"/>
  <c r="M36" i="61" a="1"/>
  <c r="M36" i="61" s="1"/>
  <c r="L85" i="61" a="1"/>
  <c r="L85" i="61" s="1"/>
  <c r="M85" i="61" a="1"/>
  <c r="M85" i="61" s="1"/>
  <c r="R85" i="61"/>
  <c r="R64" i="61"/>
  <c r="M64" i="61" a="1"/>
  <c r="M64" i="61" s="1"/>
  <c r="L64" i="61" a="1"/>
  <c r="L64" i="61" s="1"/>
  <c r="C9" i="27"/>
  <c r="H9" i="27"/>
  <c r="R112" i="61"/>
  <c r="L112" i="61" a="1"/>
  <c r="L112" i="61" s="1"/>
  <c r="L108" i="61" a="1"/>
  <c r="L108" i="61" s="1"/>
  <c r="R108" i="61"/>
  <c r="D150" i="27"/>
  <c r="G150" i="27"/>
  <c r="C150" i="27"/>
  <c r="H150" i="27"/>
  <c r="R24" i="61"/>
  <c r="L24" i="61" a="1"/>
  <c r="L24" i="61" s="1"/>
  <c r="S24" i="61"/>
  <c r="M24" i="61" a="1"/>
  <c r="M24" i="61" s="1"/>
  <c r="M20" i="61" a="1"/>
  <c r="M20" i="61" s="1"/>
  <c r="S20" i="61"/>
  <c r="R20" i="61"/>
  <c r="L20" i="61" a="1"/>
  <c r="L20" i="61" s="1"/>
  <c r="R138" i="61"/>
  <c r="L138" i="61" a="1"/>
  <c r="L138" i="61" s="1"/>
  <c r="L150" i="61" a="1"/>
  <c r="L150" i="61" s="1"/>
  <c r="R150" i="61"/>
  <c r="H289" i="27"/>
  <c r="C289" i="27"/>
  <c r="D346" i="27"/>
  <c r="H346" i="27"/>
  <c r="C346" i="27"/>
  <c r="G346" i="27"/>
  <c r="R99" i="61"/>
  <c r="L99" i="61" a="1"/>
  <c r="L99" i="61" s="1"/>
  <c r="M99" i="61" a="1"/>
  <c r="M99" i="61" s="1"/>
  <c r="R78" i="61"/>
  <c r="M78" i="61" a="1"/>
  <c r="M78" i="61" s="1"/>
  <c r="L78" i="61" a="1"/>
  <c r="L78" i="61" s="1"/>
  <c r="G11" i="27"/>
  <c r="H11" i="27"/>
  <c r="D11" i="27"/>
  <c r="C11" i="27"/>
  <c r="D178" i="27"/>
  <c r="H178" i="27"/>
  <c r="C178" i="27"/>
  <c r="G178" i="27"/>
  <c r="R130" i="61"/>
  <c r="L130" i="61" a="1"/>
  <c r="L130" i="61" s="1"/>
  <c r="R124" i="61"/>
  <c r="L124" i="61" a="1"/>
  <c r="L124" i="61" s="1"/>
  <c r="R27" i="61"/>
  <c r="S27" i="61"/>
  <c r="L27" i="61" a="1"/>
  <c r="L27" i="61" s="1"/>
  <c r="M27" i="61" a="1"/>
  <c r="M27" i="61" s="1"/>
  <c r="L17" i="61" a="1"/>
  <c r="L17" i="61" s="1"/>
  <c r="S17" i="61"/>
  <c r="R17" i="61"/>
  <c r="M17" i="61" a="1"/>
  <c r="M17" i="61" s="1"/>
  <c r="R135" i="61"/>
  <c r="L135" i="61" a="1"/>
  <c r="L135" i="61" s="1"/>
  <c r="G291" i="27"/>
  <c r="C291" i="27"/>
  <c r="D291" i="27"/>
  <c r="H291" i="27"/>
  <c r="L47" i="61" a="1"/>
  <c r="L47" i="61" s="1"/>
  <c r="R47" i="61"/>
  <c r="M47" i="61" a="1"/>
  <c r="M47" i="61" s="1"/>
  <c r="C107" i="27"/>
  <c r="H107" i="27"/>
  <c r="L33" i="61" a="1"/>
  <c r="L33" i="61" s="1"/>
  <c r="M33" i="61" a="1"/>
  <c r="M33" i="61" s="1"/>
  <c r="R33" i="61"/>
  <c r="L44" i="61" a="1"/>
  <c r="L44" i="61" s="1"/>
  <c r="R44" i="61"/>
  <c r="M44" i="61" a="1"/>
  <c r="M44" i="61" s="1"/>
  <c r="L91" i="61" a="1"/>
  <c r="L91" i="61" s="1"/>
  <c r="R91" i="61"/>
  <c r="M91" i="61" a="1"/>
  <c r="M91" i="61" s="1"/>
  <c r="M56" i="61" a="1"/>
  <c r="M56" i="61" s="1"/>
  <c r="L56" i="61" a="1"/>
  <c r="L56" i="61" s="1"/>
  <c r="C177" i="27"/>
  <c r="H177" i="27"/>
  <c r="L107" i="61" a="1"/>
  <c r="L107" i="61" s="1"/>
  <c r="R107" i="61"/>
  <c r="L123" i="61" a="1"/>
  <c r="L123" i="61" s="1"/>
  <c r="R123" i="61"/>
  <c r="D235" i="27"/>
  <c r="G235" i="27"/>
  <c r="C235" i="27"/>
  <c r="H235" i="27"/>
  <c r="L9" i="61" a="1"/>
  <c r="L9" i="61" s="1"/>
  <c r="M9" i="61" a="1"/>
  <c r="R152" i="61"/>
  <c r="L152" i="61" a="1"/>
  <c r="L152" i="61" s="1"/>
  <c r="G290" i="27"/>
  <c r="D290" i="27"/>
  <c r="C290" i="27"/>
  <c r="H290" i="27"/>
  <c r="D38" i="27"/>
  <c r="C38" i="27"/>
  <c r="G38" i="27"/>
  <c r="H38" i="27"/>
  <c r="R113" i="61"/>
  <c r="L113" i="61" a="1"/>
  <c r="L113" i="61" s="1"/>
  <c r="R118" i="61"/>
  <c r="L118" i="61" a="1"/>
  <c r="L118" i="61" s="1"/>
  <c r="D234" i="27"/>
  <c r="G234" i="27"/>
  <c r="C234" i="27"/>
  <c r="H234" i="27"/>
  <c r="H163" i="27"/>
  <c r="C163" i="27"/>
  <c r="L12" i="61" a="1"/>
  <c r="L12" i="61" s="1"/>
  <c r="M12" i="61" a="1"/>
  <c r="L133" i="61" a="1"/>
  <c r="L133" i="61" s="1"/>
  <c r="R133" i="61"/>
  <c r="C317" i="27"/>
  <c r="H317" i="27"/>
  <c r="R51" i="61"/>
  <c r="M51" i="61" a="1"/>
  <c r="M51" i="61" s="1"/>
  <c r="L51" i="61" a="1"/>
  <c r="L51" i="61" s="1"/>
  <c r="L57" i="61" a="1"/>
  <c r="L57" i="61" s="1"/>
  <c r="M57" i="61" a="1"/>
  <c r="M57" i="61" s="1"/>
  <c r="C345" i="27"/>
  <c r="H345" i="27"/>
  <c r="M92" i="61" a="1"/>
  <c r="M92" i="61" s="1"/>
  <c r="L92" i="61" a="1"/>
  <c r="L92" i="61" s="1"/>
  <c r="R92" i="61"/>
  <c r="H79" i="27"/>
  <c r="C79" i="27"/>
  <c r="L61" i="61" a="1"/>
  <c r="L61" i="61" s="1"/>
  <c r="M61" i="61" a="1"/>
  <c r="M61" i="61" s="1"/>
  <c r="R61" i="61"/>
  <c r="R60" i="61"/>
  <c r="L60" i="61" a="1"/>
  <c r="L60" i="61" s="1"/>
  <c r="M60" i="61" a="1"/>
  <c r="M60" i="61" s="1"/>
  <c r="C122" i="27"/>
  <c r="G122" i="27"/>
  <c r="D122" i="27"/>
  <c r="H122" i="27"/>
  <c r="R110" i="61"/>
  <c r="L110" i="61" a="1"/>
  <c r="L110" i="61" s="1"/>
  <c r="L127" i="61" a="1"/>
  <c r="L127" i="61" s="1"/>
  <c r="R127" i="61"/>
  <c r="H233" i="27"/>
  <c r="C233" i="27"/>
  <c r="D53" i="27"/>
  <c r="H53" i="27"/>
  <c r="C53" i="27"/>
  <c r="G53" i="27"/>
  <c r="D164" i="27"/>
  <c r="C164" i="27"/>
  <c r="H164" i="27"/>
  <c r="G164" i="27"/>
  <c r="L29" i="61" a="1"/>
  <c r="L29" i="61" s="1"/>
  <c r="S29" i="61"/>
  <c r="R29" i="61"/>
  <c r="M29" i="61" a="1"/>
  <c r="M29" i="61" s="1"/>
  <c r="L140" i="61" a="1"/>
  <c r="L140" i="61" s="1"/>
  <c r="R140" i="61"/>
  <c r="G276" i="27"/>
  <c r="H276" i="27"/>
  <c r="D276" i="27"/>
  <c r="C276" i="27"/>
  <c r="C221" i="27"/>
  <c r="D221" i="27"/>
  <c r="G221" i="27"/>
  <c r="H221" i="27"/>
  <c r="L101" i="61" a="1"/>
  <c r="L101" i="61" s="1"/>
  <c r="M101" i="61" a="1"/>
  <c r="M101" i="61" s="1"/>
  <c r="R101" i="61"/>
  <c r="M98" i="61" a="1"/>
  <c r="M98" i="61" s="1"/>
  <c r="L98" i="61" a="1"/>
  <c r="L98" i="61" s="1"/>
  <c r="R98" i="61"/>
  <c r="H81" i="27"/>
  <c r="D81" i="27"/>
  <c r="C81" i="27"/>
  <c r="G81" i="27"/>
  <c r="L58" i="61" a="1"/>
  <c r="L58" i="61" s="1"/>
  <c r="M58" i="61" a="1"/>
  <c r="M58" i="61" s="1"/>
  <c r="R70" i="61"/>
  <c r="M70" i="61" a="1"/>
  <c r="M70" i="61" s="1"/>
  <c r="L70" i="61" a="1"/>
  <c r="L70" i="61" s="1"/>
  <c r="C261" i="27"/>
  <c r="H261" i="27"/>
  <c r="D123" i="27"/>
  <c r="G123" i="27"/>
  <c r="C123" i="27"/>
  <c r="H123" i="27"/>
  <c r="R119" i="61"/>
  <c r="L119" i="61" a="1"/>
  <c r="L119" i="61" s="1"/>
  <c r="R121" i="61"/>
  <c r="L121" i="61" a="1"/>
  <c r="L121" i="61" s="1"/>
  <c r="D52" i="27"/>
  <c r="C52" i="27"/>
  <c r="H52" i="27"/>
  <c r="G52" i="27"/>
  <c r="L6" i="61" a="1"/>
  <c r="L6" i="61" s="1"/>
  <c r="M6" i="61" a="1"/>
  <c r="D193" i="27"/>
  <c r="C193" i="27"/>
  <c r="H193" i="27"/>
  <c r="G193" i="27"/>
  <c r="R142" i="61"/>
  <c r="L142" i="61" a="1"/>
  <c r="L142" i="61" s="1"/>
  <c r="C277" i="27"/>
  <c r="D277" i="27"/>
  <c r="G277" i="27"/>
  <c r="H277" i="27"/>
  <c r="M89" i="61" a="1"/>
  <c r="M89" i="61" s="1"/>
  <c r="R89" i="61"/>
  <c r="L89" i="61" a="1"/>
  <c r="L89" i="61" s="1"/>
  <c r="L22" i="61" a="1"/>
  <c r="L22" i="61" s="1"/>
  <c r="S22" i="61"/>
  <c r="M22" i="61" a="1"/>
  <c r="M22" i="61" s="1"/>
  <c r="R22" i="61"/>
  <c r="R76" i="61"/>
  <c r="L76" i="61" a="1"/>
  <c r="L76" i="61" s="1"/>
  <c r="M76" i="61" a="1"/>
  <c r="M76" i="61" s="1"/>
  <c r="L39" i="61" a="1"/>
  <c r="L39" i="61" s="1"/>
  <c r="R39" i="61"/>
  <c r="M39" i="61" a="1"/>
  <c r="M39" i="61" s="1"/>
  <c r="R34" i="61"/>
  <c r="L34" i="61" a="1"/>
  <c r="L34" i="61" s="1"/>
  <c r="M34" i="61" a="1"/>
  <c r="M34" i="61" s="1"/>
  <c r="H135" i="27"/>
  <c r="C135" i="27"/>
  <c r="L82" i="61" a="1"/>
  <c r="L82" i="61" s="1"/>
  <c r="M82" i="61" a="1"/>
  <c r="M82" i="61" s="1"/>
  <c r="M97" i="61" a="1"/>
  <c r="M97" i="61" s="1"/>
  <c r="L97" i="61" a="1"/>
  <c r="L97" i="61" s="1"/>
  <c r="R97" i="61"/>
  <c r="M67" i="61" a="1"/>
  <c r="M67" i="61" s="1"/>
  <c r="L67" i="61" a="1"/>
  <c r="L67" i="61" s="1"/>
  <c r="R67" i="61"/>
  <c r="L80" i="61" a="1"/>
  <c r="L80" i="61" s="1"/>
  <c r="R80" i="61"/>
  <c r="M80" i="61" a="1"/>
  <c r="M80" i="61" s="1"/>
  <c r="H262" i="27"/>
  <c r="C262" i="27"/>
  <c r="D262" i="27"/>
  <c r="G262" i="27"/>
  <c r="L129" i="61" a="1"/>
  <c r="L129" i="61" s="1"/>
  <c r="R129" i="61"/>
  <c r="L128" i="61" a="1"/>
  <c r="L128" i="61" s="1"/>
  <c r="R128" i="61"/>
  <c r="C51" i="27"/>
  <c r="H51" i="27"/>
  <c r="M19" i="61" a="1"/>
  <c r="M19" i="61" s="1"/>
  <c r="L19" i="61" a="1"/>
  <c r="L19" i="61" s="1"/>
  <c r="R19" i="61"/>
  <c r="S19" i="61"/>
  <c r="G192" i="27"/>
  <c r="D192" i="27"/>
  <c r="C192" i="27"/>
  <c r="H192" i="27"/>
  <c r="L147" i="61" a="1"/>
  <c r="L147" i="61" s="1"/>
  <c r="R147" i="61"/>
  <c r="H275" i="27"/>
  <c r="C275" i="27"/>
  <c r="G220" i="27"/>
  <c r="D220" i="27"/>
  <c r="C220" i="27"/>
  <c r="H220" i="27"/>
  <c r="D137" i="27"/>
  <c r="H137" i="27"/>
  <c r="G137" i="27"/>
  <c r="C137" i="27"/>
  <c r="R94" i="61"/>
  <c r="L94" i="61" a="1"/>
  <c r="L94" i="61" s="1"/>
  <c r="M94" i="61" a="1"/>
  <c r="M94" i="61" s="1"/>
  <c r="R90" i="61"/>
  <c r="M90" i="61" a="1"/>
  <c r="M90" i="61" s="1"/>
  <c r="L90" i="61" a="1"/>
  <c r="L90" i="61" s="1"/>
  <c r="L79" i="61" a="1"/>
  <c r="L79" i="61" s="1"/>
  <c r="R79" i="61"/>
  <c r="M79" i="61" a="1"/>
  <c r="M79" i="61" s="1"/>
  <c r="M72" i="61" a="1"/>
  <c r="M72" i="61" s="1"/>
  <c r="R72" i="61"/>
  <c r="L72" i="61" a="1"/>
  <c r="L72" i="61" s="1"/>
  <c r="H263" i="27"/>
  <c r="G263" i="27"/>
  <c r="D263" i="27"/>
  <c r="C263" i="27"/>
  <c r="H332" i="27"/>
  <c r="C332" i="27"/>
  <c r="D332" i="27"/>
  <c r="G332" i="27"/>
  <c r="R114" i="61"/>
  <c r="L114" i="61" a="1"/>
  <c r="L114" i="61" s="1"/>
  <c r="L126" i="61" a="1"/>
  <c r="L126" i="61" s="1"/>
  <c r="R126" i="61"/>
  <c r="L26" i="61" a="1"/>
  <c r="L26" i="61" s="1"/>
  <c r="M26" i="61" a="1"/>
  <c r="M26" i="61" s="1"/>
  <c r="S26" i="61"/>
  <c r="R26" i="61"/>
  <c r="C191" i="27"/>
  <c r="H191" i="27"/>
  <c r="L143" i="61" a="1"/>
  <c r="L143" i="61" s="1"/>
  <c r="R143" i="61"/>
  <c r="R42" i="61"/>
  <c r="L42" i="61" a="1"/>
  <c r="L42" i="61" s="1"/>
  <c r="M42" i="61" a="1"/>
  <c r="M42" i="61" s="1"/>
  <c r="R122" i="61"/>
  <c r="L122" i="61" a="1"/>
  <c r="L122" i="61" s="1"/>
  <c r="G80" i="27"/>
  <c r="D80" i="27"/>
  <c r="H80" i="27"/>
  <c r="C80" i="27"/>
  <c r="C219" i="27"/>
  <c r="H219" i="27"/>
  <c r="L50" i="61" a="1"/>
  <c r="L50" i="61" s="1"/>
  <c r="M50" i="61" a="1"/>
  <c r="M50" i="61" s="1"/>
  <c r="R50" i="61"/>
  <c r="L32" i="61" a="1"/>
  <c r="L32" i="61" s="1"/>
  <c r="M32" i="61" a="1"/>
  <c r="M32" i="61" s="1"/>
  <c r="L55" i="61" a="1"/>
  <c r="L55" i="61" s="1"/>
  <c r="R55" i="61"/>
  <c r="M55" i="61" a="1"/>
  <c r="M55" i="61" s="1"/>
  <c r="G136" i="27"/>
  <c r="H136" i="27"/>
  <c r="D136" i="27"/>
  <c r="C136" i="27"/>
  <c r="M103" i="61" a="1"/>
  <c r="M103" i="61" s="1"/>
  <c r="L103" i="61" a="1"/>
  <c r="L103" i="61" s="1"/>
  <c r="R103" i="61"/>
  <c r="M100" i="61" a="1"/>
  <c r="M100" i="61" s="1"/>
  <c r="L100" i="61" a="1"/>
  <c r="L100" i="61" s="1"/>
  <c r="R100" i="61"/>
  <c r="L75" i="61" a="1"/>
  <c r="L75" i="61" s="1"/>
  <c r="R75" i="61"/>
  <c r="M75" i="61" a="1"/>
  <c r="M75" i="61" s="1"/>
  <c r="R68" i="61"/>
  <c r="L68" i="61" a="1"/>
  <c r="L68" i="61" s="1"/>
  <c r="M68" i="61" a="1"/>
  <c r="M68" i="61" s="1"/>
  <c r="C331" i="27"/>
  <c r="H331" i="27"/>
  <c r="R120" i="61"/>
  <c r="L120" i="61" a="1"/>
  <c r="L120" i="61" s="1"/>
  <c r="L111" i="61" a="1"/>
  <c r="L111" i="61" s="1"/>
  <c r="R111" i="61"/>
  <c r="D165" i="27"/>
  <c r="C165" i="27"/>
  <c r="H165" i="27"/>
  <c r="G165" i="27"/>
  <c r="L25" i="61" a="1"/>
  <c r="L25" i="61" s="1"/>
  <c r="M25" i="61" a="1"/>
  <c r="M25" i="61" s="1"/>
  <c r="R25" i="61"/>
  <c r="S25" i="61"/>
  <c r="R139" i="61"/>
  <c r="L139" i="61" a="1"/>
  <c r="L139" i="61" s="1"/>
  <c r="R134" i="61"/>
  <c r="L134" i="61" a="1"/>
  <c r="L134" i="61" s="1"/>
  <c r="H24" i="27"/>
  <c r="C24" i="27"/>
  <c r="G24" i="27"/>
  <c r="D24" i="27"/>
  <c r="D347" i="27"/>
  <c r="C347" i="27"/>
  <c r="G347" i="27"/>
  <c r="H347" i="27"/>
  <c r="C121" i="27"/>
  <c r="H121" i="27"/>
  <c r="R41" i="61"/>
  <c r="L41" i="61" a="1"/>
  <c r="L41" i="61" s="1"/>
  <c r="M41" i="61" a="1"/>
  <c r="M41" i="61" s="1"/>
  <c r="M31" i="61" a="1"/>
  <c r="L31" i="61" a="1"/>
  <c r="L31" i="61" s="1"/>
  <c r="L84" i="61" a="1"/>
  <c r="L84" i="61" s="1"/>
  <c r="M84" i="61" a="1"/>
  <c r="M84" i="61" s="1"/>
  <c r="R84" i="61"/>
  <c r="D67" i="27"/>
  <c r="C67" i="27"/>
  <c r="G67" i="27"/>
  <c r="H67" i="27"/>
  <c r="R69" i="61"/>
  <c r="M69" i="61" a="1"/>
  <c r="M69" i="61" s="1"/>
  <c r="L69" i="61" a="1"/>
  <c r="L69" i="61" s="1"/>
  <c r="M65" i="61" a="1"/>
  <c r="M65" i="61" s="1"/>
  <c r="L65" i="61" a="1"/>
  <c r="L65" i="61" s="1"/>
  <c r="R65" i="61"/>
  <c r="H333" i="27"/>
  <c r="D333" i="27"/>
  <c r="C333" i="27"/>
  <c r="G333" i="27"/>
  <c r="G304" i="27"/>
  <c r="D304" i="27"/>
  <c r="C304" i="27"/>
  <c r="H304" i="27"/>
  <c r="R125" i="61"/>
  <c r="L125" i="61" a="1"/>
  <c r="L125" i="61" s="1"/>
  <c r="S30" i="61"/>
  <c r="R30" i="61"/>
  <c r="L30" i="61" a="1"/>
  <c r="L30" i="61" s="1"/>
  <c r="M30" i="61" a="1"/>
  <c r="M30" i="61" s="1"/>
  <c r="R23" i="61"/>
  <c r="S23" i="61"/>
  <c r="L23" i="61" a="1"/>
  <c r="L23" i="61" s="1"/>
  <c r="M23" i="61" a="1"/>
  <c r="M23" i="61" s="1"/>
  <c r="L154" i="61" a="1"/>
  <c r="L154" i="61" s="1"/>
  <c r="R154" i="61"/>
  <c r="R148" i="61"/>
  <c r="L148" i="61" a="1"/>
  <c r="L148" i="61" s="1"/>
  <c r="C23" i="27"/>
  <c r="H23" i="27"/>
  <c r="H249" i="27"/>
  <c r="G249" i="27"/>
  <c r="D249" i="27"/>
  <c r="C249" i="27"/>
  <c r="R96" i="61"/>
  <c r="L96" i="61" a="1"/>
  <c r="L96" i="61" s="1"/>
  <c r="M96" i="61" a="1"/>
  <c r="M96" i="61" s="1"/>
  <c r="L54" i="61" a="1"/>
  <c r="L54" i="61" s="1"/>
  <c r="R54" i="61"/>
  <c r="M54" i="61" a="1"/>
  <c r="M54" i="61" s="1"/>
  <c r="M83" i="61" a="1"/>
  <c r="M83" i="61" s="1"/>
  <c r="R83" i="61"/>
  <c r="L83" i="61" a="1"/>
  <c r="L83" i="61" s="1"/>
  <c r="L52" i="61" a="1"/>
  <c r="L52" i="61" s="1"/>
  <c r="M52" i="61" a="1"/>
  <c r="M52" i="61" s="1"/>
  <c r="R52" i="61"/>
  <c r="M48" i="61" a="1"/>
  <c r="M48" i="61" s="1"/>
  <c r="R48" i="61"/>
  <c r="L48" i="61" a="1"/>
  <c r="L48" i="61" s="1"/>
  <c r="R88" i="61"/>
  <c r="L88" i="61" a="1"/>
  <c r="L88" i="61" s="1"/>
  <c r="M88" i="61" a="1"/>
  <c r="M88" i="61" s="1"/>
  <c r="R102" i="61"/>
  <c r="L102" i="61" a="1"/>
  <c r="L102" i="61" s="1"/>
  <c r="M102" i="61" a="1"/>
  <c r="M102" i="61" s="1"/>
  <c r="H66" i="27"/>
  <c r="C66" i="27"/>
  <c r="G66" i="27"/>
  <c r="D66" i="27"/>
  <c r="L74" i="61" a="1"/>
  <c r="L74" i="61" s="1"/>
  <c r="M74" i="61" a="1"/>
  <c r="M74" i="61" s="1"/>
  <c r="R74" i="61"/>
  <c r="M62" i="61" a="1"/>
  <c r="M62" i="61" s="1"/>
  <c r="L62" i="61" a="1"/>
  <c r="L62" i="61" s="1"/>
  <c r="R62" i="61"/>
  <c r="H303" i="27"/>
  <c r="C303" i="27"/>
  <c r="R109" i="61"/>
  <c r="L109" i="61" a="1"/>
  <c r="L109" i="61" s="1"/>
  <c r="L13" i="61" a="1"/>
  <c r="L13" i="61" s="1"/>
  <c r="M13" i="61" a="1"/>
  <c r="S16" i="61"/>
  <c r="L16" i="61" a="1"/>
  <c r="L16" i="61" s="1"/>
  <c r="R16" i="61"/>
  <c r="M16" i="61" a="1"/>
  <c r="M16" i="61" s="1"/>
  <c r="L144" i="61" a="1"/>
  <c r="L144" i="61" s="1"/>
  <c r="R144" i="61"/>
  <c r="R149" i="61"/>
  <c r="L149" i="61" a="1"/>
  <c r="L149" i="61" s="1"/>
  <c r="D94" i="27"/>
  <c r="C94" i="27"/>
  <c r="G94" i="27"/>
  <c r="H94" i="27"/>
  <c r="C25" i="27"/>
  <c r="H25" i="27"/>
  <c r="D25" i="27"/>
  <c r="G25" i="27"/>
  <c r="R53" i="61" l="1"/>
  <c r="R82" i="61"/>
  <c r="S82" i="61" s="1"/>
  <c r="R58" i="61"/>
  <c r="S58" i="61" s="1"/>
  <c r="AC38" i="61"/>
  <c r="R57" i="61"/>
  <c r="S57" i="61" s="1"/>
  <c r="AC19" i="61"/>
  <c r="AC21" i="61"/>
  <c r="R56" i="61"/>
  <c r="S56" i="61" s="1"/>
  <c r="R32" i="61"/>
  <c r="S32" i="61" s="1"/>
  <c r="R81" i="61"/>
  <c r="S81" i="61" s="1"/>
  <c r="AC39" i="61"/>
  <c r="AC25" i="61"/>
  <c r="AC29" i="61"/>
  <c r="AC35" i="61"/>
  <c r="AC27" i="61"/>
  <c r="AC24" i="61"/>
  <c r="AC30" i="61"/>
  <c r="AC28" i="61"/>
  <c r="AC20" i="61"/>
  <c r="AC33" i="61"/>
  <c r="AC37" i="61"/>
  <c r="AC14" i="61"/>
  <c r="AC23" i="61"/>
  <c r="AC32" i="61"/>
  <c r="AC26" i="61"/>
  <c r="AC16" i="61"/>
  <c r="AC22" i="61"/>
  <c r="M10" i="61"/>
  <c r="R10" i="61" s="1"/>
  <c r="S10" i="61" s="1"/>
  <c r="M12" i="61"/>
  <c r="R12" i="61" s="1"/>
  <c r="S12" i="61" s="1"/>
  <c r="AC18" i="61"/>
  <c r="M11" i="61"/>
  <c r="R11" i="61" s="1"/>
  <c r="S11" i="61" s="1"/>
  <c r="M13" i="61"/>
  <c r="R13" i="61" s="1"/>
  <c r="S13" i="61" s="1"/>
  <c r="M9" i="61"/>
  <c r="R9" i="61" s="1"/>
  <c r="S9" i="61" s="1"/>
  <c r="AC17" i="61"/>
  <c r="M7" i="61"/>
  <c r="R7" i="61" s="1"/>
  <c r="S7" i="61" s="1"/>
  <c r="AC34" i="61"/>
  <c r="M31" i="61"/>
  <c r="AC31" i="61" s="1"/>
  <c r="M6" i="61"/>
  <c r="R6" i="61" s="1"/>
  <c r="AC36" i="61"/>
  <c r="M8" i="61"/>
  <c r="R8" i="61" s="1"/>
  <c r="S8" i="61" s="1"/>
  <c r="AC15" i="61"/>
  <c r="AC7" i="61" l="1"/>
  <c r="AC11" i="61"/>
  <c r="AC6" i="61"/>
  <c r="AC8" i="61"/>
  <c r="R31" i="61"/>
  <c r="S31" i="61" s="1"/>
  <c r="AC13" i="61"/>
  <c r="AF6" i="61"/>
  <c r="S6" i="61"/>
  <c r="AC12" i="61"/>
  <c r="AC10" i="61"/>
  <c r="AC9" i="61"/>
  <c r="U6" i="61" l="1" a="1"/>
  <c r="U6" i="61" s="1"/>
  <c r="U21" i="61" a="1"/>
  <c r="U21" i="61" s="1"/>
  <c r="D24" i="61"/>
  <c r="U9" i="61" a="1"/>
  <c r="U9" i="61" s="1"/>
  <c r="U20" i="61" a="1"/>
  <c r="U20" i="61" s="1"/>
  <c r="R2" i="61"/>
  <c r="U16" i="61" a="1"/>
  <c r="U16" i="61" s="1"/>
  <c r="U29" i="61" a="1"/>
  <c r="U29" i="61" s="1"/>
  <c r="U24" i="61" a="1"/>
  <c r="U24" i="61" s="1"/>
  <c r="U7" i="61" a="1"/>
  <c r="U7" i="61" s="1"/>
  <c r="U13" i="61" a="1"/>
  <c r="U13" i="61" s="1"/>
  <c r="U25" i="61" a="1"/>
  <c r="U25" i="61" s="1"/>
  <c r="U10" i="61" a="1"/>
  <c r="U10" i="61" s="1"/>
  <c r="U17" i="61" a="1"/>
  <c r="U17" i="61" s="1"/>
  <c r="U23" i="61" a="1"/>
  <c r="U23" i="61" s="1"/>
  <c r="U26" i="61" a="1"/>
  <c r="U26" i="61" s="1"/>
  <c r="U15" i="61" a="1"/>
  <c r="U15" i="61" s="1"/>
  <c r="U11" i="61" a="1"/>
  <c r="U11" i="61" s="1"/>
  <c r="U28" i="61" a="1"/>
  <c r="U28" i="61" s="1"/>
  <c r="E24" i="61"/>
  <c r="F24" i="61" s="1"/>
  <c r="D25" i="61"/>
  <c r="E25" i="61" s="1"/>
  <c r="F25" i="61" s="1"/>
  <c r="U12" i="61" a="1"/>
  <c r="U12" i="61" s="1"/>
  <c r="U22" i="61" a="1"/>
  <c r="U22" i="61" s="1"/>
  <c r="U18" i="61" a="1"/>
  <c r="U18" i="61" s="1"/>
  <c r="U19" i="61" a="1"/>
  <c r="U19" i="61" s="1"/>
  <c r="U30" i="61" a="1"/>
  <c r="U30" i="61" s="1"/>
  <c r="U27" i="61" a="1"/>
  <c r="U27" i="61" s="1"/>
  <c r="U8" i="61" a="1"/>
  <c r="U8" i="61" s="1"/>
  <c r="U14" i="61" a="1"/>
  <c r="U14" i="61" s="1"/>
  <c r="T31" i="1" l="1" a="1"/>
  <c r="Z40" i="1" s="1"/>
  <c r="E26" i="61"/>
  <c r="D26" i="61"/>
  <c r="Q32" i="1" l="1"/>
  <c r="Z39" i="1"/>
  <c r="T31" i="1"/>
  <c r="Z32" i="1"/>
  <c r="Q33" i="1"/>
  <c r="Q31" i="1"/>
  <c r="Z31" i="1"/>
  <c r="D36" i="2" a="1"/>
  <c r="F26" i="61"/>
  <c r="Z33" i="1" s="1"/>
  <c r="Z34" i="1" s="1"/>
  <c r="Z35" i="1" s="1"/>
  <c r="Z36" i="1" s="1"/>
  <c r="Z37" i="1" s="1"/>
  <c r="Z38" i="1" s="1"/>
  <c r="AI13" i="1" l="1"/>
  <c r="C37" i="2"/>
  <c r="B37" i="2"/>
  <c r="B38" i="2"/>
  <c r="D36" i="2"/>
  <c r="C38" i="2"/>
  <c r="F28" i="27" l="1"/>
  <c r="F55" i="27"/>
  <c r="F54" i="27"/>
  <c r="F40" i="27"/>
  <c r="F41" i="27"/>
  <c r="F69" i="27"/>
  <c r="F140" i="27"/>
  <c r="F42" i="27"/>
  <c r="F70" i="27"/>
  <c r="F153" i="27"/>
  <c r="F68" i="27"/>
  <c r="F138" i="27"/>
  <c r="F152" i="27"/>
  <c r="F124" i="27"/>
  <c r="F125" i="27"/>
  <c r="F111" i="27"/>
  <c r="F154" i="27"/>
  <c r="F126" i="27"/>
  <c r="F110" i="27"/>
  <c r="F98" i="27"/>
  <c r="F84" i="27"/>
  <c r="F112" i="27"/>
  <c r="F96" i="27"/>
  <c r="F82" i="27"/>
  <c r="F97" i="27"/>
  <c r="F14" i="27"/>
  <c r="F83" i="27"/>
  <c r="F12" i="27"/>
  <c r="F13" i="27"/>
  <c r="F26" i="27"/>
  <c r="F27" i="27"/>
  <c r="F56" i="27"/>
  <c r="F139" i="27"/>
  <c r="C36" i="2"/>
  <c r="B36" i="2"/>
  <c r="F320" i="27"/>
  <c r="F209" i="27"/>
  <c r="F252" i="27"/>
  <c r="F251" i="27"/>
  <c r="F223" i="27"/>
  <c r="F222" i="27"/>
  <c r="F322" i="27"/>
  <c r="F208" i="27"/>
  <c r="F308" i="27"/>
  <c r="F167" i="27"/>
  <c r="F306" i="27"/>
  <c r="F168" i="27"/>
  <c r="F307" i="27"/>
  <c r="F334" i="27"/>
  <c r="F166" i="27"/>
  <c r="F335" i="27"/>
  <c r="F195" i="27"/>
  <c r="F336" i="27"/>
  <c r="F264" i="27"/>
  <c r="F279" i="27"/>
  <c r="F196" i="27"/>
  <c r="F265" i="27"/>
  <c r="F278" i="27"/>
  <c r="F194" i="27"/>
  <c r="F266" i="27"/>
  <c r="F349" i="27"/>
  <c r="F224" i="27"/>
  <c r="F280" i="27"/>
  <c r="F237" i="27"/>
  <c r="F236" i="27"/>
  <c r="F180" i="27"/>
  <c r="F348" i="27"/>
  <c r="F294" i="27"/>
  <c r="F238" i="27"/>
  <c r="F181" i="27"/>
  <c r="F350" i="27"/>
  <c r="F292" i="27"/>
  <c r="F182" i="27"/>
  <c r="F293" i="27"/>
  <c r="F250" i="27"/>
  <c r="F321" i="27"/>
  <c r="F210" i="27"/>
  <c r="C27" i="27" l="1"/>
  <c r="G27" i="27"/>
  <c r="D27" i="27"/>
  <c r="H27" i="27"/>
  <c r="H56" i="27"/>
  <c r="D56" i="27"/>
  <c r="G56" i="27"/>
  <c r="C56" i="27"/>
  <c r="C111" i="27"/>
  <c r="G111" i="27"/>
  <c r="H111" i="27"/>
  <c r="D111" i="27"/>
  <c r="H26" i="27"/>
  <c r="I27" i="27" s="1"/>
  <c r="G26" i="27"/>
  <c r="C26" i="27"/>
  <c r="D26" i="27"/>
  <c r="C124" i="27"/>
  <c r="D124" i="27"/>
  <c r="G124" i="27"/>
  <c r="H124" i="27"/>
  <c r="H125" i="27"/>
  <c r="G125" i="27"/>
  <c r="C125" i="27"/>
  <c r="D125" i="27"/>
  <c r="C13" i="27"/>
  <c r="G13" i="27"/>
  <c r="H13" i="27"/>
  <c r="D13" i="27"/>
  <c r="C152" i="27"/>
  <c r="D152" i="27"/>
  <c r="H152" i="27"/>
  <c r="G152" i="27"/>
  <c r="D12" i="27"/>
  <c r="H12" i="27"/>
  <c r="C12" i="27"/>
  <c r="G12" i="27"/>
  <c r="G138" i="27"/>
  <c r="H138" i="27"/>
  <c r="C138" i="27"/>
  <c r="D138" i="27"/>
  <c r="C83" i="27"/>
  <c r="G83" i="27"/>
  <c r="H83" i="27"/>
  <c r="D83" i="27"/>
  <c r="G68" i="27"/>
  <c r="D68" i="27"/>
  <c r="C68" i="27"/>
  <c r="H68" i="27"/>
  <c r="G14" i="27"/>
  <c r="D14" i="27"/>
  <c r="C14" i="27"/>
  <c r="H14" i="27"/>
  <c r="G153" i="27"/>
  <c r="H153" i="27"/>
  <c r="C153" i="27"/>
  <c r="D153" i="27"/>
  <c r="C97" i="27"/>
  <c r="D97" i="27"/>
  <c r="H97" i="27"/>
  <c r="G97" i="27"/>
  <c r="C70" i="27"/>
  <c r="G70" i="27"/>
  <c r="D70" i="27"/>
  <c r="H70" i="27"/>
  <c r="H82" i="27"/>
  <c r="G82" i="27"/>
  <c r="D82" i="27"/>
  <c r="C82" i="27"/>
  <c r="G42" i="27"/>
  <c r="D42" i="27"/>
  <c r="C42" i="27"/>
  <c r="H42" i="27"/>
  <c r="D96" i="27"/>
  <c r="C96" i="27"/>
  <c r="G96" i="27"/>
  <c r="H96" i="27"/>
  <c r="I97" i="27" s="1"/>
  <c r="D140" i="27"/>
  <c r="G140" i="27"/>
  <c r="H140" i="27"/>
  <c r="C140" i="27"/>
  <c r="D112" i="27"/>
  <c r="C112" i="27"/>
  <c r="H112" i="27"/>
  <c r="G112" i="27"/>
  <c r="C69" i="27"/>
  <c r="G69" i="27"/>
  <c r="H69" i="27"/>
  <c r="D69" i="27"/>
  <c r="H84" i="27"/>
  <c r="G84" i="27"/>
  <c r="C84" i="27"/>
  <c r="D84" i="27"/>
  <c r="H41" i="27"/>
  <c r="G41" i="27"/>
  <c r="C41" i="27"/>
  <c r="D41" i="27"/>
  <c r="H98" i="27"/>
  <c r="D98" i="27"/>
  <c r="G98" i="27"/>
  <c r="C98" i="27"/>
  <c r="D40" i="27"/>
  <c r="G40" i="27"/>
  <c r="C40" i="27"/>
  <c r="H40" i="27"/>
  <c r="H110" i="27"/>
  <c r="G110" i="27"/>
  <c r="D110" i="27"/>
  <c r="C110" i="27"/>
  <c r="G54" i="27"/>
  <c r="H54" i="27"/>
  <c r="I55" i="27" s="1"/>
  <c r="D54" i="27"/>
  <c r="C54" i="27"/>
  <c r="C126" i="27"/>
  <c r="D126" i="27"/>
  <c r="H126" i="27"/>
  <c r="G126" i="27"/>
  <c r="H55" i="27"/>
  <c r="D55" i="27"/>
  <c r="G55" i="27"/>
  <c r="C55" i="27"/>
  <c r="H139" i="27"/>
  <c r="C139" i="27"/>
  <c r="G139" i="27"/>
  <c r="D139" i="27"/>
  <c r="H154" i="27"/>
  <c r="C154" i="27"/>
  <c r="D154" i="27"/>
  <c r="G154" i="27"/>
  <c r="G28" i="27"/>
  <c r="C28" i="27"/>
  <c r="H28" i="27"/>
  <c r="D28" i="27"/>
  <c r="D307" i="27"/>
  <c r="G307" i="27"/>
  <c r="H307" i="27"/>
  <c r="C307" i="27"/>
  <c r="C236" i="27"/>
  <c r="H236" i="27"/>
  <c r="D236" i="27"/>
  <c r="G236" i="27"/>
  <c r="H334" i="27"/>
  <c r="G334" i="27"/>
  <c r="C334" i="27"/>
  <c r="D334" i="27"/>
  <c r="G168" i="27"/>
  <c r="H168" i="27"/>
  <c r="D168" i="27"/>
  <c r="C168" i="27"/>
  <c r="G224" i="27"/>
  <c r="H224" i="27"/>
  <c r="D224" i="27"/>
  <c r="C224" i="27"/>
  <c r="H306" i="27"/>
  <c r="C306" i="27"/>
  <c r="G306" i="27"/>
  <c r="D306" i="27"/>
  <c r="G237" i="27"/>
  <c r="H237" i="27"/>
  <c r="C237" i="27"/>
  <c r="D237" i="27"/>
  <c r="G349" i="27"/>
  <c r="D349" i="27"/>
  <c r="C349" i="27"/>
  <c r="H349" i="27"/>
  <c r="H167" i="27"/>
  <c r="C167" i="27"/>
  <c r="G167" i="27"/>
  <c r="D167" i="27"/>
  <c r="D280" i="27"/>
  <c r="G280" i="27"/>
  <c r="H280" i="27"/>
  <c r="C280" i="27"/>
  <c r="C266" i="27"/>
  <c r="H266" i="27"/>
  <c r="G266" i="27"/>
  <c r="D266" i="27"/>
  <c r="H308" i="27"/>
  <c r="G308" i="27"/>
  <c r="C308" i="27"/>
  <c r="D308" i="27"/>
  <c r="H250" i="27"/>
  <c r="D250" i="27"/>
  <c r="G250" i="27"/>
  <c r="C250" i="27"/>
  <c r="D194" i="27"/>
  <c r="C194" i="27"/>
  <c r="G194" i="27"/>
  <c r="H194" i="27"/>
  <c r="G208" i="27"/>
  <c r="C208" i="27"/>
  <c r="D208" i="27"/>
  <c r="H208" i="27"/>
  <c r="I209" i="27" s="1"/>
  <c r="H321" i="27"/>
  <c r="C321" i="27"/>
  <c r="G321" i="27"/>
  <c r="D321" i="27"/>
  <c r="D278" i="27"/>
  <c r="C278" i="27"/>
  <c r="H278" i="27"/>
  <c r="G278" i="27"/>
  <c r="H322" i="27"/>
  <c r="G322" i="27"/>
  <c r="C322" i="27"/>
  <c r="D322" i="27"/>
  <c r="H210" i="27"/>
  <c r="C210" i="27"/>
  <c r="D210" i="27"/>
  <c r="G210" i="27"/>
  <c r="C265" i="27"/>
  <c r="H265" i="27"/>
  <c r="G265" i="27"/>
  <c r="D265" i="27"/>
  <c r="G222" i="27"/>
  <c r="C222" i="27"/>
  <c r="H222" i="27"/>
  <c r="D222" i="27"/>
  <c r="G292" i="27"/>
  <c r="H292" i="27"/>
  <c r="C292" i="27"/>
  <c r="D292" i="27"/>
  <c r="H196" i="27"/>
  <c r="D196" i="27"/>
  <c r="C196" i="27"/>
  <c r="G196" i="27"/>
  <c r="G223" i="27"/>
  <c r="D223" i="27"/>
  <c r="H223" i="27"/>
  <c r="C223" i="27"/>
  <c r="H293" i="27"/>
  <c r="D293" i="27"/>
  <c r="C293" i="27"/>
  <c r="G293" i="27"/>
  <c r="C279" i="27"/>
  <c r="H279" i="27"/>
  <c r="G279" i="27"/>
  <c r="D279" i="27"/>
  <c r="G251" i="27"/>
  <c r="C251" i="27"/>
  <c r="H251" i="27"/>
  <c r="D251" i="27"/>
  <c r="G182" i="27"/>
  <c r="H182" i="27"/>
  <c r="D182" i="27"/>
  <c r="C182" i="27"/>
  <c r="G264" i="27"/>
  <c r="C264" i="27"/>
  <c r="D264" i="27"/>
  <c r="H264" i="27"/>
  <c r="C252" i="27"/>
  <c r="D252" i="27"/>
  <c r="G252" i="27"/>
  <c r="H252" i="27"/>
  <c r="D350" i="27"/>
  <c r="C350" i="27"/>
  <c r="G350" i="27"/>
  <c r="H350" i="27"/>
  <c r="H336" i="27"/>
  <c r="C336" i="27"/>
  <c r="G336" i="27"/>
  <c r="D336" i="27"/>
  <c r="D209" i="27"/>
  <c r="G209" i="27"/>
  <c r="C209" i="27"/>
  <c r="H209" i="27"/>
  <c r="D181" i="27"/>
  <c r="G181" i="27"/>
  <c r="H181" i="27"/>
  <c r="C181" i="27"/>
  <c r="G195" i="27"/>
  <c r="D195" i="27"/>
  <c r="C195" i="27"/>
  <c r="H195" i="27"/>
  <c r="G320" i="27"/>
  <c r="H320" i="27"/>
  <c r="C320" i="27"/>
  <c r="D320" i="27"/>
  <c r="D294" i="27"/>
  <c r="C294" i="27"/>
  <c r="G294" i="27"/>
  <c r="H294" i="27"/>
  <c r="G348" i="27"/>
  <c r="D348" i="27"/>
  <c r="C348" i="27"/>
  <c r="H348" i="27"/>
  <c r="D335" i="27"/>
  <c r="C335" i="27"/>
  <c r="H335" i="27"/>
  <c r="G335" i="27"/>
  <c r="D238" i="27"/>
  <c r="H238" i="27"/>
  <c r="C238" i="27"/>
  <c r="G238" i="27"/>
  <c r="G180" i="27"/>
  <c r="H180" i="27"/>
  <c r="D180" i="27"/>
  <c r="C180" i="27"/>
  <c r="H166" i="27"/>
  <c r="C166" i="27"/>
  <c r="G166" i="27"/>
  <c r="D166" i="27"/>
  <c r="I153" i="27" l="1"/>
  <c r="I111" i="27"/>
  <c r="I69" i="27"/>
  <c r="I139" i="27"/>
  <c r="I41" i="27"/>
  <c r="I125" i="27"/>
  <c r="I13" i="27"/>
  <c r="I83" i="27"/>
  <c r="I321" i="27"/>
  <c r="I293" i="27"/>
  <c r="I335" i="27"/>
  <c r="I195" i="27"/>
  <c r="I237" i="27"/>
  <c r="I349" i="27"/>
  <c r="I307" i="27"/>
  <c r="I167" i="27"/>
  <c r="I265" i="27"/>
  <c r="I223" i="27"/>
  <c r="I279" i="27"/>
  <c r="I181" i="27"/>
  <c r="I251" i="27"/>
  <c r="E16" i="2" a="1"/>
  <c r="E9" i="2" a="1"/>
  <c r="E11" i="2" a="1"/>
  <c r="E13" i="2" a="1"/>
  <c r="E8" i="2" a="1"/>
  <c r="E10" i="2" a="1"/>
  <c r="E12" i="2" a="1"/>
  <c r="E15" i="2" a="1"/>
  <c r="E7" i="2" a="1"/>
  <c r="E14" i="2" a="1"/>
  <c r="E17" i="2" a="1"/>
  <c r="E25" i="2" a="1"/>
  <c r="E19" i="2" a="1"/>
  <c r="E21" i="2" a="1"/>
  <c r="E22" i="2" a="1"/>
  <c r="E24" i="2" a="1"/>
  <c r="E26" i="2" a="1"/>
  <c r="E28" i="2" a="1"/>
  <c r="E18" i="2" a="1"/>
  <c r="E23" i="2" a="1"/>
  <c r="E30" i="2" a="1"/>
  <c r="E29" i="2" a="1"/>
  <c r="E31" i="2" a="1"/>
  <c r="E27" i="2" a="1"/>
  <c r="E20" i="2" a="1"/>
  <c r="E17" i="2" l="1"/>
  <c r="E14" i="2"/>
  <c r="E7" i="2"/>
  <c r="E15" i="2"/>
  <c r="E12" i="2"/>
  <c r="E10" i="2"/>
  <c r="E8" i="2"/>
  <c r="E13" i="2"/>
  <c r="E11" i="2"/>
  <c r="E9" i="2"/>
  <c r="E16" i="2"/>
  <c r="E20" i="2"/>
  <c r="E26" i="2"/>
  <c r="E27" i="2"/>
  <c r="E31" i="2"/>
  <c r="E29" i="2"/>
  <c r="E23" i="2"/>
  <c r="E18" i="2"/>
  <c r="E28" i="2"/>
  <c r="E24" i="2"/>
  <c r="E21" i="2"/>
  <c r="E25" i="2"/>
  <c r="E30" i="2"/>
  <c r="E19" i="2"/>
  <c r="E22" i="2"/>
  <c r="E3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<sst xmlns="http://schemas.openxmlformats.org/spreadsheetml/2006/main" count="387" uniqueCount="146">
  <si>
    <t>&lt;6</t>
  </si>
  <si>
    <t>Nr</t>
  </si>
  <si>
    <t>verbond Beringen</t>
  </si>
  <si>
    <t>A</t>
  </si>
  <si>
    <t>B</t>
  </si>
  <si>
    <t>C</t>
  </si>
  <si>
    <t>D</t>
  </si>
  <si>
    <t>Minder dan 6 schutters in een A ploeg</t>
  </si>
  <si>
    <t>Deelnemende gilde</t>
  </si>
  <si>
    <t>E</t>
  </si>
  <si>
    <t>F</t>
  </si>
  <si>
    <t>G</t>
  </si>
  <si>
    <t>H</t>
  </si>
  <si>
    <t>I</t>
  </si>
  <si>
    <t>J</t>
  </si>
  <si>
    <t>In kolom A een "X" plaatsen indien er met minder dan</t>
  </si>
  <si>
    <t>GESTEL</t>
  </si>
  <si>
    <t>6 schutters werd geschoten. Dit is enkel nodig voor de A ploeg.</t>
  </si>
  <si>
    <t>REKHOVEN</t>
  </si>
  <si>
    <t>Een A ploeg heeft geen recht op 1 van de 3 dagprijzen.</t>
  </si>
  <si>
    <t>LAREN</t>
  </si>
  <si>
    <t>KAPEL</t>
  </si>
  <si>
    <t>GENEIKEN</t>
  </si>
  <si>
    <t>LINKHOUT</t>
  </si>
  <si>
    <t>Overzicht</t>
  </si>
  <si>
    <t>THIEWINKEL</t>
  </si>
  <si>
    <t>MELDERT</t>
  </si>
  <si>
    <t>Totaal betaald aan winstdeelname (kan verschillend zijn door afronding).</t>
  </si>
  <si>
    <t>EVERSEL</t>
  </si>
  <si>
    <t>CONGO</t>
  </si>
  <si>
    <t>HEMMEN</t>
  </si>
  <si>
    <t>Totaal betaald aan dagprijs (kan verschillend zijn door afronding).</t>
  </si>
  <si>
    <t>MELLAER</t>
  </si>
  <si>
    <t>WINTERSLAG</t>
  </si>
  <si>
    <t>In te vullen</t>
  </si>
  <si>
    <t>GENENBOS</t>
  </si>
  <si>
    <t>Type wedstrijd</t>
  </si>
  <si>
    <t>VRIENDENSCHIETING</t>
  </si>
  <si>
    <t>←Invullen</t>
  </si>
  <si>
    <t>SCHALBROEK</t>
  </si>
  <si>
    <t>Schietstand</t>
  </si>
  <si>
    <t>PAALSTRAAT</t>
  </si>
  <si>
    <t>Datum</t>
  </si>
  <si>
    <t>BERINGEN</t>
  </si>
  <si>
    <t>GEENHOUT</t>
  </si>
  <si>
    <t>HULST</t>
  </si>
  <si>
    <t>Enveloppen</t>
  </si>
  <si>
    <t>Info</t>
  </si>
  <si>
    <t>Maximums (30, 18 en 12) worden automatisch rood.</t>
  </si>
  <si>
    <t>Doorschuiven?</t>
  </si>
  <si>
    <t>Inschrijvingen</t>
  </si>
  <si>
    <t>Aantal ploegen</t>
  </si>
  <si>
    <t>X</t>
  </si>
  <si>
    <t>Verdeling dagprijzen</t>
  </si>
  <si>
    <t>Verdeling prijzengeld</t>
  </si>
  <si>
    <t>Aantal 30</t>
  </si>
  <si>
    <t>Aantal 29</t>
  </si>
  <si>
    <t>Aantal 28</t>
  </si>
  <si>
    <t>Aantal 27</t>
  </si>
  <si>
    <t>Aantal 26</t>
  </si>
  <si>
    <t>Aantal 25</t>
  </si>
  <si>
    <t>Aantal 24</t>
  </si>
  <si>
    <t>Versie</t>
  </si>
  <si>
    <t>ONTVANGST PRIJZENGELD</t>
  </si>
  <si>
    <t>naam gilde</t>
  </si>
  <si>
    <t>bedrag</t>
  </si>
  <si>
    <t>naam</t>
  </si>
  <si>
    <t>handtekening</t>
  </si>
  <si>
    <t xml:space="preserve">totaal </t>
  </si>
  <si>
    <t>ploegen</t>
  </si>
  <si>
    <t>/30</t>
  </si>
  <si>
    <t>ploeg</t>
  </si>
  <si>
    <t>totaal</t>
  </si>
  <si>
    <t>Ploegen</t>
  </si>
  <si>
    <t>Standaard uitbetaling
Als het uitbetaalde bedrag te laag is (verschil), wordt het verschoven naar het laagste beschikbare resultaat met uitbetaling.
Indien dat resultaat een uitbetaling van minder dan 50 cent heeft, schuift het bedrag één niveau omhoog.</t>
  </si>
  <si>
    <t>Als er minder dan 50cent per ploeg moet uitbetaald worden zal het bedrag naar een rang hoger gaan.
Indien er overschot is zal dit naar de laagste rang gaan.</t>
  </si>
  <si>
    <t>Uitslag</t>
  </si>
  <si>
    <t>Bedrag te verdelen</t>
  </si>
  <si>
    <t>Bedrag per ploeg</t>
  </si>
  <si>
    <t>Verschil</t>
  </si>
  <si>
    <t>Schuiven naar laagste</t>
  </si>
  <si>
    <t>Verschil verschuiven naar laagste resultaat</t>
  </si>
  <si>
    <t xml:space="preserve">Indien &lt;50cent verschuiven naar rang hoger. </t>
  </si>
  <si>
    <t>→</t>
  </si>
  <si>
    <t>Ploeg</t>
  </si>
  <si>
    <t>Aantal</t>
  </si>
  <si>
    <t>in de A-Reeks</t>
  </si>
  <si>
    <t>in de B-Reeks</t>
  </si>
  <si>
    <t>in de C-Reeks</t>
  </si>
  <si>
    <t>in de D-Reeks</t>
  </si>
  <si>
    <t>in de E-Reeks</t>
  </si>
  <si>
    <t>in de F-Reeks</t>
  </si>
  <si>
    <t>Kanshebbers</t>
  </si>
  <si>
    <t>en hoger hebben kans op een prijs.</t>
  </si>
  <si>
    <t>Prijs</t>
  </si>
  <si>
    <t>1ste plaats</t>
  </si>
  <si>
    <t>Volgnr</t>
  </si>
  <si>
    <r>
      <t>1</t>
    </r>
    <r>
      <rPr>
        <b/>
        <vertAlign val="superscript"/>
        <sz val="16"/>
        <rFont val="Arial"/>
        <family val="2"/>
      </rPr>
      <t>ste</t>
    </r>
  </si>
  <si>
    <r>
      <t>2</t>
    </r>
    <r>
      <rPr>
        <b/>
        <vertAlign val="superscript"/>
        <sz val="16"/>
        <rFont val="Arial"/>
        <family val="2"/>
      </rPr>
      <t>e</t>
    </r>
  </si>
  <si>
    <r>
      <t>3</t>
    </r>
    <r>
      <rPr>
        <b/>
        <vertAlign val="superscript"/>
        <sz val="16"/>
        <rFont val="Arial"/>
        <family val="2"/>
      </rPr>
      <t>e</t>
    </r>
  </si>
  <si>
    <t>OEFENSCHIETING</t>
  </si>
  <si>
    <t>2de plaats</t>
  </si>
  <si>
    <t>TERMIEN</t>
  </si>
  <si>
    <t>MUNSTERBILZEN</t>
  </si>
  <si>
    <t>Naam</t>
  </si>
  <si>
    <t>TypeWedstrijd</t>
  </si>
  <si>
    <t>St. Denijs Beringen</t>
  </si>
  <si>
    <t>St. Antonius Congo Bockrijck</t>
  </si>
  <si>
    <t>VERBOND LUMMEN</t>
  </si>
  <si>
    <t>St. Jacobus Eversel</t>
  </si>
  <si>
    <t>St. Antonius Geenhout</t>
  </si>
  <si>
    <t>Heilig Sacrament Geneiken</t>
  </si>
  <si>
    <t>St. Rochus Genenbos</t>
  </si>
  <si>
    <t>Eendracht L.S. Gestel</t>
  </si>
  <si>
    <t>St. Hubertus Hemmen</t>
  </si>
  <si>
    <t>St. Franciscus Hulst</t>
  </si>
  <si>
    <t>O.L.V. Kapel van de Beukenboom</t>
  </si>
  <si>
    <t>St. Lambertus Laren</t>
  </si>
  <si>
    <t>St. Trudo Linkhout</t>
  </si>
  <si>
    <t>St. Willebrordus Meldert</t>
  </si>
  <si>
    <t>St. Anna Mellaer</t>
  </si>
  <si>
    <t>St. Ludovicus Paalstraat</t>
  </si>
  <si>
    <t>St. Jacobus Rekhoven</t>
  </si>
  <si>
    <t>St. Sebastiaan Schalbroek</t>
  </si>
  <si>
    <t>St. Jan Thiewinkel</t>
  </si>
  <si>
    <t>St. Jozef Winterslag</t>
  </si>
  <si>
    <t>St. Dominicus Termien</t>
  </si>
  <si>
    <t>St. Kristoffel Munsterbilzen</t>
  </si>
  <si>
    <t>KIES.KOLOMMEN(FILTER(tbl_ploegen;Ploegen!AF3:AF27=WAAR);1)</t>
  </si>
  <si>
    <t>Simpele formule</t>
  </si>
  <si>
    <t>ALS.FOUT(INDEX(KIES.KOLOMMEN(FILTER(tbl_ploegen;winstdeelname=WAAR);1);(RIJ()-9)/14+1);"")</t>
  </si>
  <si>
    <t>Oude formulle</t>
  </si>
  <si>
    <t>aantal kanshebbers</t>
  </si>
  <si>
    <t>Sleutel</t>
  </si>
  <si>
    <t>Drempelwaarde</t>
  </si>
  <si>
    <t>Winnaars</t>
  </si>
  <si>
    <t>3e plaats</t>
  </si>
  <si>
    <t>Totaal bedrag</t>
  </si>
  <si>
    <t>Te verdelen bedrag</t>
  </si>
  <si>
    <t>Sleutel + Rij</t>
  </si>
  <si>
    <t>Inzet</t>
  </si>
  <si>
    <t>Doorstorten verbond</t>
  </si>
  <si>
    <t>Dagprijzen</t>
  </si>
  <si>
    <t>Inschijvingsgeld / ploeg</t>
  </si>
  <si>
    <t>Ja</t>
  </si>
  <si>
    <t>v. 2.05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</si>
</sst>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quot;€&quot;\ * #,##0.00_-;\-&quot;€&quot;\ * #,##0.00_-;_-&quot;€&quot;\ * &quot;-&quot;??_-;_-@_-"/>
    <numFmt numFmtId="165" formatCode="dd/mm/yyyy"/>
    <numFmt numFmtId="166" formatCode="[$€-2]\ #,##0;[Red]\-[$€-2]\ #,##0"/>
    <numFmt numFmtId="167" formatCode="#,##0.00\ [$€-813];[Red]\-#,##0.00\ [$€-813]"/>
    <numFmt numFmtId="168" formatCode="#,##0.00\ [$€-813];\-#,##0.00\ [$€-813]"/>
    <numFmt numFmtId="169" formatCode="[$-813]dd\ mmm\ yy;@"/>
    <numFmt numFmtId="170" formatCode="[$€-2]\ #,##0.0;[Red][$€-2]\ \-#,##0.0"/>
    <numFmt numFmtId="171" formatCode="0.0"/>
    <numFmt numFmtId="172" formatCode="&quot;€&quot;\ #,##0.00"/>
    <numFmt numFmtId="173" formatCode="&quot;€&quot;\ #,##0"/>
    <numFmt numFmtId="174" formatCode="[$€-2]\ #,##0;[Red][$€-2]\ \-#,##0"/>
    <numFmt numFmtId="175" formatCode="&quot;versie&quot;\ dd\ mmm\ yyyy"/>
  </numFmts>
  <fonts count="40" x14ac:knownFonts="1">
    <font>
      <sz val="10"/>
      <name val="Arial"/>
      <family val="2"/>
    </font>
    <font>
      <sz val="10"/>
      <name val="Calibri"/>
      <family val="2"/>
      <charset val="1"/>
    </font>
    <font>
      <sz val="12"/>
      <name val="Calibri"/>
      <family val="2"/>
      <charset val="1"/>
    </font>
    <font>
      <sz val="10"/>
      <name val="Comic Sans MS"/>
      <family val="4"/>
    </font>
    <font>
      <sz val="16"/>
      <name val="Calibri"/>
      <family val="2"/>
      <charset val="1"/>
    </font>
    <font>
      <sz val="24"/>
      <name val="Calibri"/>
      <family val="2"/>
      <charset val="1"/>
    </font>
    <font>
      <sz val="14"/>
      <name val="Calibri"/>
      <family val="2"/>
      <charset val="1"/>
    </font>
    <font>
      <sz val="12"/>
      <name val="Calibri"/>
      <family val="2"/>
    </font>
    <font>
      <b/>
      <sz val="12"/>
      <name val="Calibri"/>
      <family val="2"/>
    </font>
    <font>
      <sz val="10"/>
      <name val="Calibri"/>
      <family val="2"/>
    </font>
    <font>
      <b/>
      <sz val="10"/>
      <name val="Arial"/>
      <family val="2"/>
    </font>
    <font>
      <b/>
      <sz val="11"/>
      <name val="Arial"/>
      <family val="2"/>
    </font>
    <font>
      <b/>
      <sz val="12"/>
      <name val="Arial"/>
      <family val="2"/>
    </font>
    <font>
      <u/>
      <sz val="10"/>
      <color theme="10"/>
      <name val="Arial"/>
      <family val="2"/>
    </font>
    <font>
      <b/>
      <sz val="10"/>
      <name val="Calibri"/>
      <family val="2"/>
    </font>
    <font>
      <sz val="10"/>
      <color theme="0"/>
      <name val="Arial"/>
      <family val="2"/>
    </font>
    <font>
      <b/>
      <sz val="11"/>
      <name val="Calibri"/>
      <family val="2"/>
    </font>
    <font>
      <b/>
      <u/>
      <sz val="10"/>
      <name val="Calibri"/>
      <family val="2"/>
    </font>
    <font>
      <sz val="10"/>
      <name val="Arial"/>
      <family val="2"/>
    </font>
    <font>
      <sz val="8"/>
      <name val="Calibri"/>
      <family val="2"/>
    </font>
    <font>
      <sz val="8"/>
      <name val="Arial"/>
      <family val="2"/>
    </font>
    <font>
      <sz val="12"/>
      <name val="Arial"/>
      <family val="2"/>
    </font>
    <font>
      <b/>
      <sz val="14"/>
      <name val="Calibri"/>
      <family val="2"/>
    </font>
    <font>
      <sz val="14"/>
      <name val="Calibri"/>
      <family val="2"/>
    </font>
    <font>
      <b/>
      <sz val="16"/>
      <name val="Calibri"/>
      <family val="2"/>
    </font>
    <font>
      <b/>
      <vertAlign val="superscript"/>
      <sz val="16"/>
      <name val="Arial"/>
      <family val="2"/>
    </font>
    <font>
      <sz val="10"/>
      <color theme="0"/>
      <name val="Calibri"/>
      <family val="2"/>
    </font>
    <font>
      <sz val="12"/>
      <color theme="0"/>
      <name val="Calibri"/>
      <family val="2"/>
    </font>
    <font>
      <sz val="10"/>
      <color theme="0"/>
      <name val="Comic Sans MS"/>
      <family val="4"/>
    </font>
    <font>
      <sz val="12"/>
      <color theme="0"/>
      <name val="Arial"/>
      <family val="2"/>
    </font>
    <font>
      <sz val="10"/>
      <color theme="1" tint="4.9989318521683403E-2"/>
      <name val="Calibri"/>
      <family val="2"/>
    </font>
    <font>
      <b/>
      <sz val="10"/>
      <color rgb="FFFF0000"/>
      <name val="Calibri"/>
      <family val="2"/>
    </font>
    <font>
      <b/>
      <sz val="22"/>
      <color rgb="FFFF0000"/>
      <name val="Calibri"/>
      <family val="2"/>
    </font>
    <font>
      <sz val="10"/>
      <name val="Calibri"/>
      <family val="2"/>
      <scheme val="minor"/>
    </font>
    <font>
      <b/>
      <sz val="20"/>
      <name val="Calibri"/>
      <family val="2"/>
    </font>
    <font>
      <sz val="11"/>
      <name val="Arial"/>
      <family val="2"/>
    </font>
    <font>
      <sz val="10"/>
      <color rgb="FFFF0000"/>
      <name val="Calibri"/>
      <family val="2"/>
    </font>
    <font>
      <b/>
      <sz val="11"/>
      <color rgb="FFFF0000"/>
      <name val="Calibri"/>
      <family val="2"/>
    </font>
    <font>
      <b/>
      <u/>
      <sz val="10"/>
      <color theme="0" tint="-4.9989318521683403E-2"/>
      <name val="Calibri"/>
      <family val="2"/>
    </font>
    <font>
      <sz val="10"/>
      <color theme="0" tint="-4.9989318521683403E-2"/>
      <name val="Calibri"/>
      <family val="2"/>
    </font>
  </fonts>
  <fills count="7">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rgb="FFFFFF00"/>
      </patternFill>
    </fill>
  </fills>
  <borders count="83">
    <border>
      <left/>
      <right/>
      <top/>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64"/>
      </right>
      <top/>
      <bottom style="thin">
        <color indexed="64"/>
      </bottom>
      <diagonal/>
    </border>
    <border>
      <left/>
      <right style="thin">
        <color indexed="8"/>
      </right>
      <top/>
      <bottom style="thin">
        <color indexed="8"/>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right style="hair">
        <color indexed="8"/>
      </right>
      <top/>
      <bottom/>
      <diagonal/>
    </border>
    <border>
      <left/>
      <right/>
      <top style="medium">
        <color auto="1"/>
      </top>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8"/>
      </left>
      <right style="medium">
        <color indexed="64"/>
      </right>
      <top/>
      <bottom style="thin">
        <color indexed="8"/>
      </bottom>
      <diagonal/>
    </border>
    <border>
      <left style="medium">
        <color indexed="64"/>
      </left>
      <right style="thin">
        <color indexed="8"/>
      </right>
      <top/>
      <bottom style="thin">
        <color indexed="8"/>
      </bottom>
      <diagonal/>
    </border>
    <border>
      <left/>
      <right style="thin">
        <color indexed="8"/>
      </right>
      <top style="thin">
        <color indexed="8"/>
      </top>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thin">
        <color indexed="64"/>
      </right>
      <top style="medium">
        <color indexed="64"/>
      </top>
      <bottom style="thin">
        <color indexed="8"/>
      </bottom>
      <diagonal/>
    </border>
    <border>
      <left style="thin">
        <color indexed="64"/>
      </left>
      <right style="thin">
        <color indexed="8"/>
      </right>
      <top/>
      <bottom style="thin">
        <color indexed="64"/>
      </bottom>
      <diagonal/>
    </border>
    <border>
      <left/>
      <right style="thin">
        <color indexed="8"/>
      </right>
      <top style="thin">
        <color indexed="8"/>
      </top>
      <bottom style="thin">
        <color indexed="8"/>
      </bottom>
      <diagonal/>
    </border>
    <border>
      <left style="thin">
        <color indexed="64"/>
      </left>
      <right style="thin">
        <color indexed="8"/>
      </right>
      <top style="medium">
        <color indexed="64"/>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medium">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indexed="8"/>
      </left>
      <right style="medium">
        <color indexed="64"/>
      </right>
      <top style="thin">
        <color indexed="64"/>
      </top>
      <bottom style="medium">
        <color indexed="64"/>
      </bottom>
      <diagonal/>
    </border>
    <border>
      <left style="medium">
        <color indexed="64"/>
      </left>
      <right style="thin">
        <color indexed="8"/>
      </right>
      <top style="thin">
        <color indexed="64"/>
      </top>
      <bottom style="medium">
        <color indexed="64"/>
      </bottom>
      <diagonal/>
    </border>
    <border>
      <left/>
      <right/>
      <top/>
      <bottom style="hair">
        <color auto="1"/>
      </bottom>
      <diagonal/>
    </border>
    <border>
      <left/>
      <right/>
      <top style="hair">
        <color auto="1"/>
      </top>
      <bottom style="hair">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s>
  <cellStyleXfs count="4">
    <xf numFmtId="0" fontId="0" fillId="0" borderId="0"/>
    <xf numFmtId="0" fontId="13" fillId="0" borderId="0" applyNumberFormat="0" applyFill="0" applyBorder="0" applyAlignment="0" applyProtection="0"/>
    <xf numFmtId="0" fontId="18" fillId="0" borderId="0"/>
    <xf numFmtId="0" fontId="18" fillId="0" borderId="0"/>
  </cellStyleXfs>
  <cellXfs count="350">
    <xf numFmtId="0" fontId="0" fillId="0" borderId="0" xfId="0"/>
    <xf numFmtId="0" fontId="3" fillId="0" borderId="0" xfId="0" applyFont="1"/>
    <xf numFmtId="0" fontId="7" fillId="0" borderId="0" xfId="0" applyFont="1"/>
    <xf numFmtId="0" fontId="7" fillId="0" borderId="0" xfId="0" applyFont="1" applyAlignment="1">
      <alignment horizontal="right"/>
    </xf>
    <xf numFmtId="168" fontId="7" fillId="0" borderId="0" xfId="0" applyNumberFormat="1" applyFont="1" applyAlignment="1">
      <alignment horizontal="right"/>
    </xf>
    <xf numFmtId="2" fontId="7" fillId="0" borderId="0" xfId="0" applyNumberFormat="1" applyFont="1"/>
    <xf numFmtId="167" fontId="7" fillId="0" borderId="0" xfId="0" applyNumberFormat="1" applyFont="1" applyAlignment="1">
      <alignment horizontal="center"/>
    </xf>
    <xf numFmtId="2" fontId="7" fillId="0" borderId="1" xfId="0" applyNumberFormat="1" applyFont="1" applyBorder="1" applyAlignment="1">
      <alignment horizontal="center"/>
    </xf>
    <xf numFmtId="0" fontId="2" fillId="0" borderId="0" xfId="0" applyFont="1"/>
    <xf numFmtId="167" fontId="7" fillId="0" borderId="1" xfId="0" applyNumberFormat="1" applyFont="1" applyBorder="1" applyAlignment="1">
      <alignment horizontal="center"/>
    </xf>
    <xf numFmtId="0" fontId="0" fillId="0" borderId="0" xfId="0" applyAlignment="1">
      <alignment horizontal="center"/>
    </xf>
    <xf numFmtId="0" fontId="0" fillId="0" borderId="7" xfId="0" applyBorder="1" applyAlignment="1">
      <alignment horizontal="center" vertical="center"/>
    </xf>
    <xf numFmtId="0" fontId="0" fillId="0" borderId="2"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10" fillId="0" borderId="20" xfId="0" applyFont="1" applyBorder="1" applyAlignment="1">
      <alignment horizontal="center" vertical="center"/>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xf>
    <xf numFmtId="0" fontId="0" fillId="0" borderId="12" xfId="0" applyBorder="1" applyAlignment="1">
      <alignment horizontal="center"/>
    </xf>
    <xf numFmtId="0" fontId="0" fillId="0" borderId="8" xfId="0" applyBorder="1" applyAlignment="1">
      <alignment horizontal="center" vertical="center"/>
    </xf>
    <xf numFmtId="0" fontId="10" fillId="0" borderId="0" xfId="0" applyFont="1" applyAlignment="1">
      <alignment vertical="center"/>
    </xf>
    <xf numFmtId="0" fontId="10" fillId="0" borderId="0" xfId="0" applyFont="1" applyAlignment="1">
      <alignment horizontal="center" vertical="center"/>
    </xf>
    <xf numFmtId="14" fontId="7" fillId="0" borderId="0" xfId="0" applyNumberFormat="1" applyFont="1" applyAlignment="1">
      <alignment horizontal="center"/>
    </xf>
    <xf numFmtId="0" fontId="15" fillId="0" borderId="0" xfId="0" applyFont="1"/>
    <xf numFmtId="0" fontId="0" fillId="0" borderId="29" xfId="0" applyBorder="1" applyProtection="1">
      <protection hidden="1"/>
    </xf>
    <xf numFmtId="0" fontId="0" fillId="0" borderId="29" xfId="0" applyBorder="1"/>
    <xf numFmtId="0" fontId="0" fillId="0" borderId="0" xfId="0" applyAlignment="1">
      <alignment horizontal="center" vertical="center"/>
    </xf>
    <xf numFmtId="0" fontId="17" fillId="5" borderId="0" xfId="0" applyFont="1" applyFill="1" applyProtection="1">
      <protection hidden="1"/>
    </xf>
    <xf numFmtId="0" fontId="9" fillId="5" borderId="0" xfId="0" applyFont="1" applyFill="1" applyProtection="1">
      <protection hidden="1"/>
    </xf>
    <xf numFmtId="0" fontId="9" fillId="0" borderId="0" xfId="0" applyFont="1" applyProtection="1">
      <protection hidden="1"/>
    </xf>
    <xf numFmtId="164" fontId="9" fillId="5" borderId="0" xfId="0" applyNumberFormat="1" applyFont="1" applyFill="1" applyProtection="1">
      <protection hidden="1"/>
    </xf>
    <xf numFmtId="0" fontId="9" fillId="5" borderId="0" xfId="0" applyFont="1" applyFill="1" applyAlignment="1" applyProtection="1">
      <alignment horizontal="right" indent="1"/>
      <protection hidden="1"/>
    </xf>
    <xf numFmtId="0" fontId="4" fillId="0" borderId="0" xfId="0" applyFont="1" applyProtection="1">
      <protection hidden="1"/>
    </xf>
    <xf numFmtId="0" fontId="4" fillId="0" borderId="1" xfId="0" applyFont="1" applyBorder="1" applyProtection="1">
      <protection hidden="1"/>
    </xf>
    <xf numFmtId="167" fontId="4" fillId="0" borderId="1" xfId="0" applyNumberFormat="1" applyFont="1" applyBorder="1" applyProtection="1">
      <protection hidden="1"/>
    </xf>
    <xf numFmtId="14" fontId="6" fillId="0" borderId="1" xfId="0" applyNumberFormat="1" applyFont="1" applyBorder="1" applyAlignment="1" applyProtection="1">
      <alignment horizontal="right"/>
      <protection hidden="1"/>
    </xf>
    <xf numFmtId="0" fontId="4" fillId="0" borderId="30" xfId="0" applyFont="1" applyBorder="1" applyProtection="1">
      <protection hidden="1"/>
    </xf>
    <xf numFmtId="0" fontId="7" fillId="0" borderId="0" xfId="0" applyFont="1" applyAlignment="1">
      <alignment horizontal="center"/>
    </xf>
    <xf numFmtId="0" fontId="1" fillId="0" borderId="0" xfId="0" applyFont="1" applyAlignment="1">
      <alignment horizontal="right"/>
    </xf>
    <xf numFmtId="165" fontId="16" fillId="0" borderId="0" xfId="0" applyNumberFormat="1" applyFont="1" applyAlignment="1">
      <alignment horizontal="center"/>
    </xf>
    <xf numFmtId="0" fontId="16" fillId="0" borderId="0" xfId="0" applyFont="1"/>
    <xf numFmtId="0" fontId="14" fillId="0" borderId="0" xfId="0" applyFont="1" applyAlignment="1">
      <alignment horizontal="center"/>
    </xf>
    <xf numFmtId="0" fontId="14" fillId="0" borderId="4" xfId="0" applyFont="1" applyBorder="1" applyAlignment="1">
      <alignment horizontal="center"/>
    </xf>
    <xf numFmtId="0" fontId="14" fillId="0" borderId="2" xfId="0" applyFont="1" applyBorder="1" applyAlignment="1">
      <alignment horizontal="center"/>
    </xf>
    <xf numFmtId="0" fontId="14" fillId="0" borderId="2" xfId="0" applyFont="1" applyBorder="1"/>
    <xf numFmtId="0" fontId="9" fillId="0" borderId="2" xfId="0" applyFont="1" applyBorder="1" applyProtection="1">
      <protection locked="0"/>
    </xf>
    <xf numFmtId="0" fontId="9" fillId="0" borderId="2" xfId="0" applyFont="1" applyBorder="1" applyAlignment="1" applyProtection="1">
      <alignment horizontal="center"/>
      <protection locked="0"/>
    </xf>
    <xf numFmtId="0" fontId="9" fillId="0" borderId="0" xfId="0" applyFont="1"/>
    <xf numFmtId="0" fontId="9" fillId="0" borderId="5" xfId="0" applyFont="1" applyBorder="1" applyAlignment="1" applyProtection="1">
      <alignment horizontal="center"/>
      <protection locked="0"/>
    </xf>
    <xf numFmtId="0" fontId="9" fillId="0" borderId="3" xfId="0" applyFont="1" applyBorder="1" applyAlignment="1" applyProtection="1">
      <alignment horizontal="center"/>
      <protection locked="0"/>
    </xf>
    <xf numFmtId="0" fontId="9" fillId="0" borderId="2" xfId="0" applyFont="1" applyBorder="1" applyAlignment="1">
      <alignment horizontal="center"/>
    </xf>
    <xf numFmtId="0" fontId="9" fillId="0" borderId="0" xfId="0" applyFont="1" applyAlignment="1">
      <alignment horizontal="center"/>
    </xf>
    <xf numFmtId="167" fontId="7" fillId="0" borderId="0" xfId="0" applyNumberFormat="1" applyFont="1" applyAlignment="1">
      <alignment horizontal="right"/>
    </xf>
    <xf numFmtId="0" fontId="8" fillId="0" borderId="0" xfId="0" applyFont="1" applyAlignment="1">
      <alignment horizontal="centerContinuous"/>
    </xf>
    <xf numFmtId="169" fontId="9" fillId="5" borderId="0" xfId="0" applyNumberFormat="1" applyFont="1" applyFill="1" applyProtection="1">
      <protection hidden="1"/>
    </xf>
    <xf numFmtId="0" fontId="9" fillId="5" borderId="0" xfId="0" applyFont="1" applyFill="1" applyAlignment="1" applyProtection="1">
      <alignment horizontal="right"/>
      <protection hidden="1"/>
    </xf>
    <xf numFmtId="0" fontId="21" fillId="0" borderId="0" xfId="0" applyFont="1"/>
    <xf numFmtId="0" fontId="23" fillId="0" borderId="0" xfId="0" applyFont="1" applyProtection="1">
      <protection hidden="1"/>
    </xf>
    <xf numFmtId="0" fontId="22" fillId="0" borderId="0" xfId="0" applyFont="1"/>
    <xf numFmtId="0" fontId="22" fillId="0" borderId="0" xfId="0" applyFont="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22" fillId="0" borderId="2" xfId="0" applyFont="1" applyBorder="1"/>
    <xf numFmtId="0" fontId="22" fillId="0" borderId="3" xfId="0" applyFont="1" applyBorder="1" applyAlignment="1">
      <alignment horizontal="center"/>
    </xf>
    <xf numFmtId="0" fontId="22" fillId="0" borderId="33" xfId="0" applyFont="1" applyBorder="1"/>
    <xf numFmtId="0" fontId="22" fillId="0" borderId="34" xfId="0" applyFont="1" applyBorder="1"/>
    <xf numFmtId="0" fontId="22" fillId="0" borderId="35" xfId="0" applyFont="1" applyBorder="1"/>
    <xf numFmtId="0" fontId="22" fillId="0" borderId="36" xfId="0" applyFont="1" applyBorder="1" applyAlignment="1">
      <alignment horizontal="center"/>
    </xf>
    <xf numFmtId="0" fontId="22" fillId="0" borderId="37" xfId="0" applyFont="1" applyBorder="1" applyAlignment="1">
      <alignment horizontal="center"/>
    </xf>
    <xf numFmtId="0" fontId="22" fillId="0" borderId="7" xfId="0" applyFont="1" applyBorder="1" applyAlignment="1">
      <alignment horizontal="center"/>
    </xf>
    <xf numFmtId="0" fontId="22" fillId="0" borderId="14" xfId="0" applyFont="1" applyBorder="1" applyAlignment="1">
      <alignment horizontal="center"/>
    </xf>
    <xf numFmtId="0" fontId="22" fillId="0" borderId="14" xfId="0" applyFont="1" applyBorder="1"/>
    <xf numFmtId="0" fontId="22" fillId="0" borderId="38" xfId="0" applyFont="1" applyBorder="1" applyAlignment="1">
      <alignment horizontal="center"/>
    </xf>
    <xf numFmtId="0" fontId="23" fillId="0" borderId="7" xfId="0" applyFont="1" applyBorder="1" applyAlignment="1" applyProtection="1">
      <alignment horizontal="center" vertical="center"/>
      <protection locked="0"/>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14" fillId="0" borderId="2" xfId="0" applyFont="1" applyBorder="1" applyAlignment="1" applyProtection="1">
      <alignment horizontal="center" vertical="center"/>
      <protection hidden="1"/>
    </xf>
    <xf numFmtId="0" fontId="16" fillId="0" borderId="45" xfId="0" applyFont="1" applyBorder="1" applyAlignment="1">
      <alignment horizontal="right"/>
    </xf>
    <xf numFmtId="0" fontId="14" fillId="0" borderId="45" xfId="0" applyFont="1" applyBorder="1" applyAlignment="1">
      <alignment horizontal="center"/>
    </xf>
    <xf numFmtId="0" fontId="9" fillId="0" borderId="40" xfId="0" applyFont="1" applyBorder="1" applyAlignment="1">
      <alignment horizontal="center"/>
    </xf>
    <xf numFmtId="0" fontId="9" fillId="0" borderId="6" xfId="0" applyFont="1" applyBorder="1" applyAlignment="1">
      <alignment horizontal="center"/>
    </xf>
    <xf numFmtId="0" fontId="14" fillId="0" borderId="49" xfId="0" applyFont="1" applyBorder="1" applyAlignment="1">
      <alignment horizontal="center"/>
    </xf>
    <xf numFmtId="0" fontId="9" fillId="0" borderId="7" xfId="0" applyFont="1" applyBorder="1" applyAlignment="1" applyProtection="1">
      <alignment horizontal="center"/>
      <protection locked="0"/>
    </xf>
    <xf numFmtId="0" fontId="9" fillId="0" borderId="14" xfId="0" applyFont="1" applyBorder="1" applyAlignment="1" applyProtection="1">
      <alignment horizontal="center"/>
      <protection locked="0"/>
    </xf>
    <xf numFmtId="0" fontId="9" fillId="0" borderId="8" xfId="0" applyFont="1" applyBorder="1" applyAlignment="1" applyProtection="1">
      <alignment horizontal="center"/>
      <protection locked="0"/>
    </xf>
    <xf numFmtId="0" fontId="14" fillId="0" borderId="15" xfId="0" applyFont="1" applyBorder="1" applyAlignment="1" applyProtection="1">
      <alignment horizontal="center" vertical="center"/>
      <protection hidden="1"/>
    </xf>
    <xf numFmtId="0" fontId="9" fillId="0" borderId="15" xfId="0" applyFont="1" applyBorder="1" applyProtection="1">
      <protection locked="0"/>
    </xf>
    <xf numFmtId="0" fontId="9" fillId="0" borderId="15" xfId="0" applyFont="1" applyBorder="1" applyAlignment="1" applyProtection="1">
      <alignment horizontal="center"/>
      <protection locked="0"/>
    </xf>
    <xf numFmtId="0" fontId="9" fillId="0" borderId="16" xfId="0" applyFont="1" applyBorder="1" applyAlignment="1" applyProtection="1">
      <alignment horizontal="center"/>
      <protection locked="0"/>
    </xf>
    <xf numFmtId="0" fontId="9" fillId="0" borderId="45" xfId="0" applyFont="1" applyBorder="1" applyAlignment="1" applyProtection="1">
      <alignment horizontal="center"/>
      <protection locked="0"/>
    </xf>
    <xf numFmtId="0" fontId="16" fillId="0" borderId="33" xfId="0" applyFont="1" applyBorder="1"/>
    <xf numFmtId="0" fontId="16" fillId="0" borderId="34" xfId="0" applyFont="1" applyBorder="1"/>
    <xf numFmtId="0" fontId="16" fillId="0" borderId="35" xfId="0" applyFont="1" applyBorder="1"/>
    <xf numFmtId="0" fontId="14" fillId="0" borderId="36" xfId="0" applyFont="1" applyBorder="1" applyAlignment="1">
      <alignment horizontal="center"/>
    </xf>
    <xf numFmtId="0" fontId="14" fillId="0" borderId="37" xfId="0" applyFont="1" applyBorder="1" applyAlignment="1">
      <alignment horizontal="center"/>
    </xf>
    <xf numFmtId="0" fontId="9" fillId="0" borderId="38" xfId="0" applyFont="1" applyBorder="1" applyAlignment="1" applyProtection="1">
      <alignment horizontal="center"/>
      <protection locked="0"/>
    </xf>
    <xf numFmtId="0" fontId="9" fillId="0" borderId="49" xfId="0" applyFont="1" applyBorder="1" applyAlignment="1" applyProtection="1">
      <alignment horizontal="center"/>
      <protection locked="0"/>
    </xf>
    <xf numFmtId="0" fontId="9" fillId="0" borderId="50" xfId="0" applyFont="1" applyBorder="1" applyAlignment="1" applyProtection="1">
      <alignment horizontal="center"/>
      <protection locked="0"/>
    </xf>
    <xf numFmtId="0" fontId="9" fillId="0" borderId="51" xfId="0" applyFont="1" applyBorder="1" applyAlignment="1" applyProtection="1">
      <alignment horizontal="center"/>
      <protection locked="0"/>
    </xf>
    <xf numFmtId="0" fontId="9" fillId="0" borderId="52" xfId="0" applyFont="1" applyBorder="1" applyAlignment="1" applyProtection="1">
      <alignment horizontal="center"/>
      <protection locked="0"/>
    </xf>
    <xf numFmtId="0" fontId="14" fillId="0" borderId="7" xfId="0" applyFont="1" applyBorder="1" applyAlignment="1">
      <alignment horizontal="center"/>
    </xf>
    <xf numFmtId="0" fontId="14" fillId="0" borderId="14" xfId="0" applyFont="1" applyBorder="1" applyAlignment="1">
      <alignment horizontal="center"/>
    </xf>
    <xf numFmtId="0" fontId="9" fillId="0" borderId="39" xfId="0" applyFont="1" applyBorder="1" applyAlignment="1" applyProtection="1">
      <alignment horizontal="center"/>
      <protection locked="0"/>
    </xf>
    <xf numFmtId="0" fontId="9" fillId="0" borderId="53" xfId="0" applyFont="1" applyBorder="1" applyAlignment="1" applyProtection="1">
      <alignment horizontal="center"/>
      <protection locked="0"/>
    </xf>
    <xf numFmtId="0" fontId="9" fillId="0" borderId="54" xfId="0" applyFont="1" applyBorder="1" applyAlignment="1" applyProtection="1">
      <alignment horizontal="center"/>
      <protection locked="0"/>
    </xf>
    <xf numFmtId="0" fontId="9" fillId="0" borderId="55" xfId="0" applyFont="1" applyBorder="1" applyAlignment="1" applyProtection="1">
      <alignment horizontal="center"/>
      <protection locked="0"/>
    </xf>
    <xf numFmtId="0" fontId="14" fillId="0" borderId="14" xfId="0" applyFont="1" applyBorder="1"/>
    <xf numFmtId="0" fontId="23" fillId="0" borderId="14" xfId="0" applyFont="1" applyBorder="1" applyAlignment="1" applyProtection="1">
      <alignment horizontal="center" vertical="center"/>
      <protection locked="0"/>
    </xf>
    <xf numFmtId="0" fontId="23" fillId="0" borderId="0" xfId="0" applyFont="1" applyAlignment="1" applyProtection="1">
      <alignment horizontal="center" vertical="center"/>
      <protection hidden="1"/>
    </xf>
    <xf numFmtId="0" fontId="23" fillId="0" borderId="2" xfId="0" applyFont="1" applyBorder="1" applyAlignment="1" applyProtection="1">
      <alignment horizontal="center" vertical="center"/>
      <protection locked="0"/>
    </xf>
    <xf numFmtId="0" fontId="23" fillId="0" borderId="0" xfId="0" applyFont="1" applyAlignment="1">
      <alignment horizontal="center" vertical="center"/>
    </xf>
    <xf numFmtId="0" fontId="23" fillId="0" borderId="5" xfId="0" applyFont="1" applyBorder="1" applyAlignment="1" applyProtection="1">
      <alignment horizontal="center" vertical="center"/>
      <protection locked="0"/>
    </xf>
    <xf numFmtId="0" fontId="23" fillId="0" borderId="3" xfId="0" applyFont="1" applyBorder="1" applyAlignment="1" applyProtection="1">
      <alignment horizontal="center" vertical="center"/>
      <protection locked="0"/>
    </xf>
    <xf numFmtId="0" fontId="23" fillId="0" borderId="38" xfId="0" applyFont="1" applyBorder="1" applyAlignment="1" applyProtection="1">
      <alignment horizontal="center" vertical="center"/>
      <protection locked="0"/>
    </xf>
    <xf numFmtId="0" fontId="23" fillId="0" borderId="39" xfId="0" applyFont="1" applyBorder="1" applyAlignment="1" applyProtection="1">
      <alignment horizontal="center" vertical="center"/>
      <protection locked="0"/>
    </xf>
    <xf numFmtId="0" fontId="23" fillId="0" borderId="53" xfId="0" applyFont="1" applyBorder="1" applyAlignment="1" applyProtection="1">
      <alignment horizontal="center" vertical="center"/>
      <protection locked="0"/>
    </xf>
    <xf numFmtId="0" fontId="23" fillId="0" borderId="54" xfId="0" applyFont="1" applyBorder="1" applyAlignment="1" applyProtection="1">
      <alignment horizontal="center" vertical="center"/>
      <protection locked="0"/>
    </xf>
    <xf numFmtId="0" fontId="23" fillId="0" borderId="14" xfId="0" applyFont="1" applyBorder="1" applyAlignment="1">
      <alignment horizontal="center" vertical="center"/>
    </xf>
    <xf numFmtId="0" fontId="23" fillId="0" borderId="16" xfId="0" applyFont="1" applyBorder="1" applyAlignment="1">
      <alignment horizontal="center" vertical="center"/>
    </xf>
    <xf numFmtId="0" fontId="23" fillId="0" borderId="8" xfId="0"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0" fontId="23" fillId="0" borderId="16" xfId="0" applyFont="1" applyBorder="1" applyAlignment="1" applyProtection="1">
      <alignment horizontal="center" vertical="center"/>
      <protection locked="0"/>
    </xf>
    <xf numFmtId="0" fontId="23" fillId="0" borderId="7" xfId="0" applyFont="1" applyBorder="1" applyAlignment="1" applyProtection="1">
      <alignment horizontal="left" vertical="center"/>
      <protection locked="0"/>
    </xf>
    <xf numFmtId="0" fontId="23" fillId="0" borderId="8" xfId="0" applyFont="1" applyBorder="1" applyAlignment="1" applyProtection="1">
      <alignment horizontal="left" vertical="center"/>
      <protection locked="0"/>
    </xf>
    <xf numFmtId="0" fontId="23" fillId="0" borderId="56" xfId="0" applyFont="1" applyBorder="1" applyAlignment="1" applyProtection="1">
      <alignment horizontal="center" vertical="center"/>
      <protection locked="0"/>
    </xf>
    <xf numFmtId="0" fontId="23" fillId="0" borderId="40" xfId="0" applyFont="1" applyBorder="1" applyAlignment="1" applyProtection="1">
      <alignment horizontal="center" vertical="center"/>
      <protection locked="0"/>
    </xf>
    <xf numFmtId="0" fontId="23" fillId="0" borderId="57" xfId="0" applyFont="1" applyBorder="1" applyAlignment="1" applyProtection="1">
      <alignment horizontal="center" vertical="center"/>
      <protection locked="0"/>
    </xf>
    <xf numFmtId="0" fontId="23" fillId="0" borderId="58" xfId="0" applyFont="1" applyBorder="1" applyAlignment="1" applyProtection="1">
      <alignment horizontal="center" vertical="center"/>
      <protection locked="0"/>
    </xf>
    <xf numFmtId="0" fontId="23" fillId="0" borderId="59" xfId="0" applyFont="1" applyBorder="1" applyAlignment="1" applyProtection="1">
      <alignment horizontal="center" vertical="center"/>
      <protection locked="0"/>
    </xf>
    <xf numFmtId="0" fontId="23" fillId="0" borderId="56" xfId="0" applyFont="1" applyBorder="1" applyAlignment="1" applyProtection="1">
      <alignment horizontal="left" vertical="center"/>
      <protection locked="0"/>
    </xf>
    <xf numFmtId="0" fontId="23" fillId="0" borderId="60" xfId="0" applyFont="1" applyBorder="1" applyAlignment="1" applyProtection="1">
      <alignment horizontal="center" vertical="center"/>
      <protection locked="0"/>
    </xf>
    <xf numFmtId="0" fontId="23" fillId="0" borderId="61" xfId="0" applyFont="1" applyBorder="1" applyAlignment="1" applyProtection="1">
      <alignment horizontal="center" vertical="center"/>
      <protection locked="0"/>
    </xf>
    <xf numFmtId="0" fontId="23" fillId="0" borderId="62" xfId="0" applyFont="1" applyBorder="1" applyAlignment="1" applyProtection="1">
      <alignment horizontal="center" vertical="center"/>
      <protection locked="0"/>
    </xf>
    <xf numFmtId="0" fontId="23" fillId="0" borderId="63" xfId="0" applyFont="1" applyBorder="1" applyAlignment="1" applyProtection="1">
      <alignment horizontal="center" vertical="center"/>
      <protection locked="0"/>
    </xf>
    <xf numFmtId="0" fontId="23" fillId="0" borderId="64" xfId="0" applyFont="1" applyBorder="1" applyAlignment="1" applyProtection="1">
      <alignment horizontal="center" vertical="center"/>
      <protection locked="0"/>
    </xf>
    <xf numFmtId="0" fontId="23" fillId="0" borderId="65" xfId="0" applyFont="1" applyBorder="1" applyAlignment="1" applyProtection="1">
      <alignment horizontal="center" vertical="center"/>
      <protection locked="0"/>
    </xf>
    <xf numFmtId="0" fontId="9" fillId="0" borderId="0" xfId="0" applyFont="1" applyAlignment="1">
      <alignment vertical="center"/>
    </xf>
    <xf numFmtId="0" fontId="9" fillId="0" borderId="0" xfId="0" applyFont="1" applyAlignment="1">
      <alignment horizontal="left" vertical="center"/>
    </xf>
    <xf numFmtId="0" fontId="22" fillId="0" borderId="0" xfId="0" applyFont="1" applyAlignment="1">
      <alignment horizontal="left"/>
    </xf>
    <xf numFmtId="0" fontId="24" fillId="0" borderId="0" xfId="0" applyFont="1" applyAlignment="1">
      <alignment horizontal="left"/>
    </xf>
    <xf numFmtId="0" fontId="26" fillId="0" borderId="0" xfId="0" applyFont="1" applyProtection="1">
      <protection hidden="1"/>
    </xf>
    <xf numFmtId="0" fontId="28" fillId="0" borderId="0" xfId="0" applyFont="1"/>
    <xf numFmtId="0" fontId="27" fillId="0" borderId="0" xfId="0" applyFont="1" applyAlignment="1">
      <alignment horizontal="center"/>
    </xf>
    <xf numFmtId="0" fontId="29" fillId="0" borderId="0" xfId="0" applyFont="1"/>
    <xf numFmtId="0" fontId="0" fillId="0" borderId="0" xfId="0" applyFill="1"/>
    <xf numFmtId="0" fontId="30" fillId="0" borderId="0" xfId="0" applyFont="1" applyProtection="1">
      <protection hidden="1"/>
    </xf>
    <xf numFmtId="0" fontId="30" fillId="0" borderId="0" xfId="0" applyFont="1"/>
    <xf numFmtId="0" fontId="30" fillId="0" borderId="6" xfId="0" applyFont="1" applyBorder="1" applyAlignment="1">
      <alignment horizontal="center"/>
    </xf>
    <xf numFmtId="0" fontId="30" fillId="0" borderId="2" xfId="0" applyFont="1" applyBorder="1" applyAlignment="1">
      <alignment horizontal="center"/>
    </xf>
    <xf numFmtId="0" fontId="0" fillId="0" borderId="0" xfId="0"/>
    <xf numFmtId="0" fontId="9" fillId="5" borderId="0" xfId="0" applyFont="1" applyFill="1" applyAlignment="1" applyProtection="1">
      <alignment vertical="top" wrapText="1"/>
      <protection hidden="1"/>
    </xf>
    <xf numFmtId="0" fontId="33" fillId="5" borderId="0" xfId="1" applyFont="1" applyFill="1" applyProtection="1">
      <protection hidden="1"/>
    </xf>
    <xf numFmtId="0" fontId="9" fillId="5" borderId="0" xfId="0" applyFont="1" applyFill="1" applyAlignment="1" applyProtection="1">
      <alignment horizontal="centerContinuous"/>
      <protection hidden="1"/>
    </xf>
    <xf numFmtId="171" fontId="0" fillId="0" borderId="0" xfId="0" applyNumberFormat="1"/>
    <xf numFmtId="0" fontId="10" fillId="0" borderId="74" xfId="0" applyFont="1" applyBorder="1" applyAlignment="1">
      <alignment horizontal="center" vertical="center"/>
    </xf>
    <xf numFmtId="0" fontId="10" fillId="0" borderId="69" xfId="0" applyFont="1" applyBorder="1" applyAlignment="1">
      <alignment horizontal="center" vertical="center" wrapText="1"/>
    </xf>
    <xf numFmtId="0" fontId="10" fillId="0" borderId="71" xfId="0" applyFont="1" applyBorder="1" applyAlignment="1">
      <alignment horizontal="center" vertical="center" wrapText="1"/>
    </xf>
    <xf numFmtId="0" fontId="11" fillId="0" borderId="17" xfId="0" applyFont="1" applyBorder="1" applyAlignment="1">
      <alignment horizontal="centerContinuous" vertical="center" wrapText="1"/>
    </xf>
    <xf numFmtId="0" fontId="12" fillId="0" borderId="18" xfId="0" applyFont="1" applyBorder="1" applyAlignment="1">
      <alignment horizontal="centerContinuous"/>
    </xf>
    <xf numFmtId="0" fontId="10" fillId="0" borderId="18" xfId="0" applyFont="1" applyBorder="1" applyAlignment="1">
      <alignment horizontal="centerContinuous" wrapText="1"/>
    </xf>
    <xf numFmtId="0" fontId="10" fillId="0" borderId="19" xfId="0" applyFont="1" applyBorder="1" applyAlignment="1">
      <alignment horizontal="centerContinuous" wrapText="1"/>
    </xf>
    <xf numFmtId="171" fontId="0" fillId="0" borderId="18" xfId="0" applyNumberFormat="1" applyBorder="1" applyAlignment="1">
      <alignment horizontal="centerContinuous"/>
    </xf>
    <xf numFmtId="171" fontId="0" fillId="0" borderId="19" xfId="0" applyNumberFormat="1" applyBorder="1" applyAlignment="1">
      <alignment horizontal="centerContinuous"/>
    </xf>
    <xf numFmtId="0" fontId="0" fillId="2" borderId="72" xfId="0" applyFill="1" applyBorder="1" applyAlignment="1">
      <alignment horizontal="center"/>
    </xf>
    <xf numFmtId="0" fontId="0" fillId="2" borderId="70" xfId="0" applyFill="1" applyBorder="1" applyAlignment="1">
      <alignment horizontal="center"/>
    </xf>
    <xf numFmtId="0" fontId="0" fillId="2" borderId="73" xfId="0" applyFill="1" applyBorder="1" applyAlignment="1">
      <alignment horizontal="center"/>
    </xf>
    <xf numFmtId="171" fontId="10" fillId="0" borderId="28" xfId="0" applyNumberFormat="1" applyFont="1" applyBorder="1" applyAlignment="1">
      <alignment horizontal="center" vertical="center" wrapText="1"/>
    </xf>
    <xf numFmtId="171" fontId="10" fillId="0" borderId="9" xfId="0" applyNumberFormat="1" applyFont="1" applyBorder="1" applyAlignment="1">
      <alignment horizontal="center" vertical="center" wrapText="1"/>
    </xf>
    <xf numFmtId="171" fontId="0" fillId="0" borderId="2" xfId="0" applyNumberFormat="1" applyBorder="1"/>
    <xf numFmtId="171" fontId="0" fillId="0" borderId="11" xfId="0" applyNumberFormat="1" applyBorder="1"/>
    <xf numFmtId="171" fontId="0" fillId="0" borderId="15" xfId="0" applyNumberFormat="1" applyBorder="1"/>
    <xf numFmtId="0" fontId="12" fillId="0" borderId="18" xfId="0" applyFont="1" applyBorder="1" applyAlignment="1">
      <alignment horizontal="centerContinuous" vertical="center"/>
    </xf>
    <xf numFmtId="0" fontId="12" fillId="0" borderId="31" xfId="0" applyFont="1" applyBorder="1" applyAlignment="1">
      <alignment horizontal="centerContinuous" vertical="center"/>
    </xf>
    <xf numFmtId="171" fontId="10" fillId="0" borderId="75" xfId="0" applyNumberFormat="1" applyFont="1" applyBorder="1" applyAlignment="1">
      <alignment horizontal="center" vertical="center" wrapText="1"/>
    </xf>
    <xf numFmtId="0" fontId="0" fillId="0" borderId="18" xfId="0" applyBorder="1" applyAlignment="1">
      <alignment horizontal="centerContinuous"/>
    </xf>
    <xf numFmtId="0" fontId="0" fillId="0" borderId="19" xfId="0" applyBorder="1" applyAlignment="1">
      <alignment horizontal="centerContinuous"/>
    </xf>
    <xf numFmtId="0" fontId="0" fillId="0" borderId="2" xfId="0" applyBorder="1"/>
    <xf numFmtId="0" fontId="0" fillId="2" borderId="2" xfId="0" applyNumberFormat="1" applyFill="1" applyBorder="1" applyAlignment="1">
      <alignment horizontal="center"/>
    </xf>
    <xf numFmtId="0" fontId="0" fillId="0" borderId="11" xfId="0" applyBorder="1"/>
    <xf numFmtId="0" fontId="0" fillId="2" borderId="11" xfId="0" applyNumberFormat="1" applyFill="1" applyBorder="1" applyAlignment="1">
      <alignment horizontal="center"/>
    </xf>
    <xf numFmtId="0" fontId="0" fillId="0" borderId="15" xfId="0" applyBorder="1"/>
    <xf numFmtId="0" fontId="0" fillId="2" borderId="15" xfId="0" applyNumberFormat="1" applyFill="1" applyBorder="1" applyAlignment="1">
      <alignment horizontal="center"/>
    </xf>
    <xf numFmtId="0" fontId="0" fillId="0" borderId="12" xfId="0" applyNumberFormat="1" applyBorder="1"/>
    <xf numFmtId="0" fontId="0" fillId="0" borderId="14" xfId="0" applyNumberFormat="1" applyBorder="1"/>
    <xf numFmtId="0" fontId="0" fillId="0" borderId="16" xfId="0" applyNumberFormat="1" applyBorder="1"/>
    <xf numFmtId="0" fontId="10" fillId="0" borderId="13" xfId="0" applyFont="1" applyBorder="1" applyAlignment="1">
      <alignment horizontal="centerContinuous" vertical="center" wrapText="1"/>
    </xf>
    <xf numFmtId="0" fontId="35" fillId="0" borderId="0" xfId="0" applyFont="1"/>
    <xf numFmtId="0" fontId="35" fillId="0" borderId="18" xfId="0" applyFont="1" applyBorder="1" applyAlignment="1">
      <alignment horizontal="centerContinuous"/>
    </xf>
    <xf numFmtId="171" fontId="11" fillId="0" borderId="75" xfId="0" applyNumberFormat="1" applyFont="1" applyBorder="1" applyAlignment="1">
      <alignment horizontal="center" vertical="center" wrapText="1"/>
    </xf>
    <xf numFmtId="171" fontId="10" fillId="0" borderId="13" xfId="0" applyNumberFormat="1" applyFont="1" applyBorder="1" applyAlignment="1">
      <alignment horizontal="center" vertical="center" wrapText="1"/>
    </xf>
    <xf numFmtId="0" fontId="0" fillId="0" borderId="0" xfId="0" applyBorder="1" applyAlignment="1">
      <alignment horizontal="centerContinuous"/>
    </xf>
    <xf numFmtId="171" fontId="10" fillId="0" borderId="0" xfId="0" applyNumberFormat="1" applyFont="1" applyBorder="1" applyAlignment="1">
      <alignment horizontal="center" vertical="center" wrapText="1"/>
    </xf>
    <xf numFmtId="0" fontId="14" fillId="0" borderId="54" xfId="0" applyFont="1" applyBorder="1" applyAlignment="1">
      <alignment horizontal="center"/>
    </xf>
    <xf numFmtId="0" fontId="0" fillId="0" borderId="0" xfId="0"/>
    <xf numFmtId="0" fontId="7" fillId="0" borderId="0" xfId="0" applyFont="1" applyAlignment="1">
      <alignment horizontal="left"/>
    </xf>
    <xf numFmtId="165" fontId="16" fillId="0" borderId="49" xfId="0" applyNumberFormat="1" applyFont="1" applyBorder="1" applyAlignment="1">
      <alignment horizontal="center"/>
    </xf>
    <xf numFmtId="0" fontId="9" fillId="0" borderId="57" xfId="0" applyFont="1" applyBorder="1" applyAlignment="1">
      <alignment horizontal="center"/>
    </xf>
    <xf numFmtId="0" fontId="22" fillId="0" borderId="53" xfId="0" applyFont="1" applyBorder="1" applyAlignment="1">
      <alignment horizontal="center"/>
    </xf>
    <xf numFmtId="0" fontId="22" fillId="0" borderId="49" xfId="0" applyFont="1" applyBorder="1" applyAlignment="1">
      <alignment horizontal="center"/>
    </xf>
    <xf numFmtId="0" fontId="23" fillId="0" borderId="45" xfId="0" applyFont="1" applyBorder="1" applyAlignment="1" applyProtection="1">
      <alignment horizontal="center" vertical="center"/>
      <protection locked="0"/>
    </xf>
    <xf numFmtId="0" fontId="23" fillId="0" borderId="49" xfId="0" applyFont="1" applyBorder="1" applyAlignment="1" applyProtection="1">
      <alignment horizontal="center" vertical="center"/>
      <protection locked="0"/>
    </xf>
    <xf numFmtId="0" fontId="9" fillId="0" borderId="0" xfId="0" applyFont="1" applyBorder="1" applyAlignment="1">
      <alignment horizontal="center"/>
    </xf>
    <xf numFmtId="0" fontId="37" fillId="0" borderId="0" xfId="0" applyFont="1" applyAlignment="1">
      <alignment horizontal="right" indent="6"/>
    </xf>
    <xf numFmtId="0" fontId="31" fillId="0" borderId="0" xfId="0" applyFont="1" applyAlignment="1">
      <alignment horizontal="right" indent="6"/>
    </xf>
    <xf numFmtId="0" fontId="36" fillId="0" borderId="0" xfId="0" applyFont="1"/>
    <xf numFmtId="0" fontId="9" fillId="0" borderId="0" xfId="0" applyFont="1" applyBorder="1"/>
    <xf numFmtId="0" fontId="3" fillId="0" borderId="0" xfId="0" applyFont="1" applyFill="1"/>
    <xf numFmtId="0" fontId="1" fillId="0" borderId="0" xfId="0" applyFont="1" applyFill="1" applyAlignment="1">
      <alignment horizontal="right"/>
    </xf>
    <xf numFmtId="167" fontId="7" fillId="0" borderId="0" xfId="0" applyNumberFormat="1" applyFont="1" applyFill="1" applyAlignment="1">
      <alignment horizontal="right"/>
    </xf>
    <xf numFmtId="14" fontId="7" fillId="0" borderId="0" xfId="0" applyNumberFormat="1" applyFont="1" applyFill="1" applyAlignment="1">
      <alignment horizontal="center"/>
    </xf>
    <xf numFmtId="0" fontId="7" fillId="0" borderId="0" xfId="0" applyFont="1" applyFill="1" applyAlignment="1">
      <alignment horizontal="center"/>
    </xf>
    <xf numFmtId="0" fontId="7" fillId="0" borderId="0" xfId="0" applyFont="1" applyFill="1"/>
    <xf numFmtId="0" fontId="7" fillId="0" borderId="0" xfId="0" applyFont="1" applyFill="1" applyAlignment="1">
      <alignment horizontal="right"/>
    </xf>
    <xf numFmtId="0" fontId="7" fillId="0" borderId="0" xfId="0" applyFont="1" applyFill="1" applyAlignment="1">
      <alignment horizontal="left"/>
    </xf>
    <xf numFmtId="168" fontId="7" fillId="0" borderId="0" xfId="0" applyNumberFormat="1" applyFont="1" applyFill="1" applyAlignment="1">
      <alignment horizontal="right"/>
    </xf>
    <xf numFmtId="0" fontId="21" fillId="0" borderId="0" xfId="0" applyFont="1" applyFill="1"/>
    <xf numFmtId="2" fontId="7" fillId="0" borderId="0" xfId="0" applyNumberFormat="1" applyFont="1" applyFill="1"/>
    <xf numFmtId="0" fontId="8" fillId="0" borderId="0" xfId="0" applyFont="1" applyFill="1" applyAlignment="1">
      <alignment horizontal="centerContinuous"/>
    </xf>
    <xf numFmtId="167" fontId="7" fillId="0" borderId="0" xfId="0" applyNumberFormat="1" applyFont="1" applyFill="1" applyAlignment="1">
      <alignment horizontal="center"/>
    </xf>
    <xf numFmtId="0" fontId="2" fillId="0" borderId="0" xfId="0" applyFont="1" applyFill="1"/>
    <xf numFmtId="2" fontId="7" fillId="0" borderId="1" xfId="0" applyNumberFormat="1" applyFont="1" applyFill="1" applyBorder="1" applyAlignment="1">
      <alignment horizontal="center"/>
    </xf>
    <xf numFmtId="167" fontId="7" fillId="0" borderId="1" xfId="0" applyNumberFormat="1" applyFont="1" applyFill="1" applyBorder="1" applyAlignment="1">
      <alignment horizontal="center"/>
    </xf>
    <xf numFmtId="0" fontId="0" fillId="0" borderId="0" xfId="0" applyFont="1" applyFill="1"/>
    <xf numFmtId="1" fontId="10" fillId="0" borderId="0" xfId="0" applyNumberFormat="1" applyFont="1" applyAlignment="1">
      <alignment vertical="center"/>
    </xf>
    <xf numFmtId="0" fontId="0" fillId="0" borderId="0" xfId="0" applyAlignment="1">
      <alignment vertical="center"/>
    </xf>
    <xf numFmtId="0" fontId="0" fillId="0" borderId="13" xfId="0" applyBorder="1" applyAlignment="1">
      <alignment vertical="center"/>
    </xf>
    <xf numFmtId="0" fontId="0" fillId="0" borderId="9" xfId="0" applyBorder="1" applyAlignment="1">
      <alignment horizontal="center" vertical="center"/>
    </xf>
    <xf numFmtId="0" fontId="0" fillId="0" borderId="24" xfId="0"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3" xfId="0" applyBorder="1" applyAlignment="1">
      <alignment horizontal="center" vertical="center"/>
    </xf>
    <xf numFmtId="0" fontId="0" fillId="0" borderId="27" xfId="0" applyBorder="1" applyAlignment="1">
      <alignment horizontal="center" vertical="center"/>
    </xf>
    <xf numFmtId="0" fontId="10" fillId="0" borderId="0" xfId="0" applyFont="1" applyAlignment="1">
      <alignment horizontal="right" vertical="center"/>
    </xf>
    <xf numFmtId="0" fontId="0" fillId="0" borderId="9" xfId="0" applyBorder="1" applyAlignment="1">
      <alignment vertical="center" wrapText="1"/>
    </xf>
    <xf numFmtId="0" fontId="0" fillId="0" borderId="9"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76" xfId="0" applyBorder="1" applyAlignment="1">
      <alignment vertical="center"/>
    </xf>
    <xf numFmtId="0" fontId="0" fillId="0" borderId="76" xfId="0" applyBorder="1" applyAlignment="1">
      <alignment horizontal="center" vertical="center"/>
    </xf>
    <xf numFmtId="0" fontId="0" fillId="0" borderId="0" xfId="0" applyBorder="1" applyAlignment="1">
      <alignment vertical="center"/>
    </xf>
    <xf numFmtId="0" fontId="0" fillId="0" borderId="23" xfId="0" applyBorder="1" applyAlignment="1">
      <alignment vertical="center"/>
    </xf>
    <xf numFmtId="2" fontId="0" fillId="0" borderId="0" xfId="0" applyNumberFormat="1" applyAlignment="1">
      <alignment horizontal="left" vertical="center"/>
    </xf>
    <xf numFmtId="2" fontId="0" fillId="0" borderId="9" xfId="0" applyNumberFormat="1" applyFont="1" applyBorder="1" applyAlignment="1">
      <alignment horizontal="center" vertical="center"/>
    </xf>
    <xf numFmtId="2" fontId="0" fillId="0" borderId="25" xfId="0" applyNumberFormat="1" applyFont="1" applyBorder="1" applyAlignment="1">
      <alignment horizontal="center" vertical="center"/>
    </xf>
    <xf numFmtId="2" fontId="0" fillId="0" borderId="27" xfId="0" applyNumberFormat="1" applyFont="1" applyBorder="1" applyAlignment="1">
      <alignment horizontal="center" vertical="center"/>
    </xf>
    <xf numFmtId="0" fontId="0" fillId="0" borderId="20" xfId="0" applyBorder="1" applyAlignment="1">
      <alignment horizontal="center" vertical="center"/>
    </xf>
    <xf numFmtId="0" fontId="0" fillId="0" borderId="74" xfId="0" applyBorder="1" applyAlignment="1">
      <alignment horizontal="center" vertical="center"/>
    </xf>
    <xf numFmtId="0" fontId="0" fillId="0" borderId="79" xfId="0" applyBorder="1" applyAlignment="1">
      <alignment horizontal="center" vertical="center"/>
    </xf>
    <xf numFmtId="172" fontId="0" fillId="0" borderId="69" xfId="0" applyNumberFormat="1" applyBorder="1" applyAlignment="1">
      <alignment vertical="center"/>
    </xf>
    <xf numFmtId="172" fontId="0" fillId="0" borderId="25" xfId="0" applyNumberFormat="1" applyBorder="1" applyAlignment="1">
      <alignment vertical="center"/>
    </xf>
    <xf numFmtId="0" fontId="0" fillId="0" borderId="78" xfId="0" applyBorder="1" applyAlignment="1">
      <alignment vertical="center"/>
    </xf>
    <xf numFmtId="0" fontId="0" fillId="0" borderId="0" xfId="0" applyAlignment="1">
      <alignment horizontal="right" vertical="center"/>
    </xf>
    <xf numFmtId="0" fontId="10" fillId="4" borderId="68" xfId="0" applyFont="1" applyFill="1" applyBorder="1" applyAlignment="1">
      <alignment horizontal="center" vertical="center"/>
    </xf>
    <xf numFmtId="0" fontId="0" fillId="0" borderId="28" xfId="0" applyBorder="1"/>
    <xf numFmtId="0" fontId="0" fillId="0" borderId="75" xfId="0" applyBorder="1"/>
    <xf numFmtId="0" fontId="0" fillId="0" borderId="77" xfId="0" applyBorder="1"/>
    <xf numFmtId="2" fontId="0" fillId="0" borderId="0" xfId="0" applyNumberFormat="1" applyAlignment="1">
      <alignment vertical="center"/>
    </xf>
    <xf numFmtId="0" fontId="38" fillId="5" borderId="0" xfId="0" applyFont="1" applyFill="1" applyProtection="1">
      <protection hidden="1"/>
    </xf>
    <xf numFmtId="0" fontId="39" fillId="5" borderId="0" xfId="0" applyFont="1" applyFill="1" applyAlignment="1" applyProtection="1">
      <alignment horizontal="left" vertical="top"/>
      <protection hidden="1"/>
    </xf>
    <xf numFmtId="0" fontId="39" fillId="5" borderId="0" xfId="0" applyFont="1" applyFill="1" applyAlignment="1" applyProtection="1">
      <alignment vertical="top" wrapText="1"/>
      <protection hidden="1"/>
    </xf>
    <xf numFmtId="0" fontId="39" fillId="5" borderId="0" xfId="0" applyFont="1" applyFill="1" applyAlignment="1" applyProtection="1">
      <alignment horizontal="center"/>
      <protection hidden="1"/>
    </xf>
    <xf numFmtId="0" fontId="39" fillId="5" borderId="0" xfId="0" applyFont="1" applyFill="1" applyAlignment="1" applyProtection="1">
      <alignment horizontal="centerContinuous"/>
      <protection hidden="1"/>
    </xf>
    <xf numFmtId="173" fontId="0" fillId="0" borderId="0" xfId="0" applyNumberFormat="1"/>
    <xf numFmtId="174" fontId="9" fillId="0" borderId="0" xfId="0" applyNumberFormat="1" applyFont="1"/>
    <xf numFmtId="0" fontId="5" fillId="0" borderId="0" xfId="0" applyFont="1" applyAlignment="1" applyProtection="1">
      <alignment horizontal="center"/>
      <protection hidden="1"/>
    </xf>
    <xf numFmtId="0" fontId="4" fillId="0" borderId="0" xfId="0" applyFont="1" applyAlignment="1" applyProtection="1">
      <alignment horizontal="left"/>
      <protection hidden="1"/>
    </xf>
    <xf numFmtId="0" fontId="4" fillId="0" borderId="0" xfId="0" applyFont="1" applyAlignment="1" applyProtection="1">
      <alignment horizontal="right"/>
      <protection hidden="1"/>
    </xf>
    <xf numFmtId="0" fontId="4" fillId="0" borderId="80" xfId="0" applyFont="1" applyBorder="1" applyProtection="1">
      <protection hidden="1"/>
    </xf>
    <xf numFmtId="0" fontId="4" fillId="0" borderId="82" xfId="0" applyFont="1" applyBorder="1" applyProtection="1">
      <protection hidden="1"/>
    </xf>
    <xf numFmtId="0" fontId="5" fillId="0" borderId="0" xfId="0" applyFont="1" applyBorder="1" applyAlignment="1" applyProtection="1">
      <alignment horizontal="center"/>
      <protection hidden="1"/>
    </xf>
    <xf numFmtId="0" fontId="5" fillId="0" borderId="0" xfId="0" applyFont="1" applyBorder="1" applyAlignment="1" applyProtection="1">
      <protection hidden="1"/>
    </xf>
    <xf numFmtId="0" fontId="5" fillId="0" borderId="0" xfId="0" applyFont="1" applyBorder="1" applyProtection="1">
      <protection hidden="1"/>
    </xf>
    <xf numFmtId="0" fontId="4" fillId="0" borderId="0" xfId="0" applyFont="1" applyBorder="1" applyProtection="1">
      <protection hidden="1"/>
    </xf>
    <xf numFmtId="0" fontId="4" fillId="0" borderId="81" xfId="0" applyFont="1" applyBorder="1" applyProtection="1">
      <protection hidden="1"/>
    </xf>
    <xf numFmtId="0" fontId="19" fillId="0" borderId="0" xfId="0" applyFont="1" applyAlignment="1">
      <alignment textRotation="90"/>
    </xf>
    <xf numFmtId="0" fontId="20" fillId="0" borderId="0" xfId="0" applyFont="1" applyAlignment="1">
      <alignment textRotation="90"/>
    </xf>
    <xf numFmtId="0" fontId="9" fillId="5" borderId="0" xfId="0" applyFont="1" applyFill="1" applyAlignment="1" applyProtection="1">
      <alignment horizontal="center" wrapText="1"/>
      <protection hidden="1"/>
    </xf>
    <xf numFmtId="0" fontId="9" fillId="5" borderId="0" xfId="0" applyFont="1" applyFill="1" applyAlignment="1" applyProtection="1">
      <alignment horizontal="left" vertical="top" wrapText="1"/>
      <protection hidden="1"/>
    </xf>
    <xf numFmtId="0" fontId="9" fillId="5" borderId="0" xfId="0" applyFont="1" applyFill="1" applyAlignment="1" applyProtection="1">
      <alignment horizontal="left"/>
      <protection hidden="1"/>
    </xf>
    <xf numFmtId="0" fontId="9" fillId="5" borderId="0" xfId="0" applyFont="1" applyFill="1" applyAlignment="1" applyProtection="1">
      <alignment horizontal="left" vertical="top"/>
      <protection hidden="1"/>
    </xf>
    <xf numFmtId="0" fontId="9" fillId="5" borderId="0" xfId="0" applyFont="1" applyFill="1" applyAlignment="1" applyProtection="1">
      <alignment horizontal="center" vertical="center" wrapText="1"/>
      <protection hidden="1"/>
    </xf>
    <xf numFmtId="164" fontId="9" fillId="5" borderId="0" xfId="0" applyNumberFormat="1" applyFont="1" applyFill="1" applyAlignment="1" applyProtection="1">
      <alignment horizontal="center" vertical="center" wrapText="1"/>
      <protection hidden="1"/>
    </xf>
    <xf numFmtId="173" fontId="9" fillId="6" borderId="2" xfId="0" applyNumberFormat="1" applyFont="1" applyFill="1" applyBorder="1" applyAlignment="1" applyProtection="1">
      <alignment horizontal="left" indent="1"/>
      <protection locked="0"/>
    </xf>
    <xf numFmtId="0" fontId="32" fillId="3" borderId="32" xfId="0" applyFont="1" applyFill="1" applyBorder="1" applyAlignment="1" applyProtection="1">
      <alignment horizontal="center" vertical="center"/>
      <protection locked="0"/>
    </xf>
    <xf numFmtId="0" fontId="32" fillId="3" borderId="0" xfId="0" applyFont="1" applyFill="1" applyBorder="1" applyAlignment="1" applyProtection="1">
      <alignment horizontal="center" vertical="center"/>
      <protection locked="0"/>
    </xf>
    <xf numFmtId="0" fontId="14" fillId="0" borderId="10" xfId="0" applyFont="1" applyBorder="1" applyAlignment="1">
      <alignment horizontal="center" wrapText="1"/>
    </xf>
    <xf numFmtId="0" fontId="14" fillId="0" borderId="7" xfId="0" applyFont="1" applyBorder="1" applyAlignment="1">
      <alignment horizontal="center" wrapText="1"/>
    </xf>
    <xf numFmtId="0" fontId="9" fillId="6" borderId="2" xfId="0" applyFont="1" applyFill="1" applyBorder="1" applyAlignment="1" applyProtection="1">
      <alignment horizontal="left" indent="1"/>
      <protection locked="0"/>
    </xf>
    <xf numFmtId="14" fontId="9" fillId="6" borderId="2" xfId="0" applyNumberFormat="1" applyFont="1" applyFill="1" applyBorder="1" applyAlignment="1" applyProtection="1">
      <alignment horizontal="left" indent="1"/>
      <protection locked="0"/>
    </xf>
    <xf numFmtId="0" fontId="16" fillId="0" borderId="47" xfId="0" applyFont="1" applyBorder="1" applyAlignment="1">
      <alignment horizontal="center"/>
    </xf>
    <xf numFmtId="14" fontId="16" fillId="0" borderId="47" xfId="0" applyNumberFormat="1" applyFont="1" applyBorder="1" applyAlignment="1">
      <alignment horizontal="right"/>
    </xf>
    <xf numFmtId="0" fontId="16" fillId="0" borderId="48" xfId="0" applyFont="1" applyBorder="1" applyAlignment="1">
      <alignment horizontal="right"/>
    </xf>
    <xf numFmtId="0" fontId="14" fillId="0" borderId="0" xfId="0" applyFont="1" applyBorder="1" applyAlignment="1">
      <alignment horizontal="center" wrapText="1"/>
    </xf>
    <xf numFmtId="0" fontId="14" fillId="0" borderId="46" xfId="0" applyFont="1" applyBorder="1" applyAlignment="1" applyProtection="1">
      <alignment horizontal="center" textRotation="90"/>
      <protection hidden="1"/>
    </xf>
    <xf numFmtId="0" fontId="14" fillId="0" borderId="44" xfId="0" applyFont="1" applyBorder="1" applyAlignment="1" applyProtection="1">
      <alignment horizontal="center" textRotation="90"/>
      <protection hidden="1"/>
    </xf>
    <xf numFmtId="0" fontId="9" fillId="5" borderId="0" xfId="0" applyFont="1" applyFill="1" applyAlignment="1" applyProtection="1">
      <protection hidden="1"/>
    </xf>
    <xf numFmtId="164" fontId="9" fillId="0" borderId="0" xfId="0" applyNumberFormat="1" applyFont="1" applyAlignment="1">
      <alignment horizontal="center"/>
    </xf>
    <xf numFmtId="164" fontId="9" fillId="0" borderId="0" xfId="0" applyNumberFormat="1" applyFont="1" applyAlignment="1">
      <alignment horizontal="center" vertical="center"/>
    </xf>
    <xf numFmtId="175" fontId="19" fillId="0" borderId="0" xfId="0" applyNumberFormat="1" applyFont="1" applyAlignment="1">
      <alignment horizontal="left"/>
    </xf>
    <xf numFmtId="0" fontId="19" fillId="0" borderId="0" xfId="0" applyFont="1" applyAlignment="1">
      <alignment horizontal="right"/>
    </xf>
    <xf numFmtId="170" fontId="9" fillId="0" borderId="0" xfId="0" applyNumberFormat="1" applyFont="1" applyAlignment="1">
      <alignment horizontal="right" indent="2"/>
    </xf>
    <xf numFmtId="170" fontId="9" fillId="0" borderId="23" xfId="0" applyNumberFormat="1" applyFont="1" applyBorder="1" applyAlignment="1">
      <alignment horizontal="right" indent="2"/>
    </xf>
    <xf numFmtId="170" fontId="9" fillId="0" borderId="0" xfId="0" applyNumberFormat="1" applyFont="1" applyBorder="1" applyAlignment="1">
      <alignment horizontal="right" indent="2"/>
    </xf>
    <xf numFmtId="166" fontId="9" fillId="0" borderId="0" xfId="0" applyNumberFormat="1" applyFont="1" applyAlignment="1">
      <alignment horizontal="left" indent="1"/>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0" borderId="13" xfId="0" applyFont="1" applyBorder="1" applyAlignment="1">
      <alignment horizontal="center" vertical="center"/>
    </xf>
    <xf numFmtId="0" fontId="10" fillId="0" borderId="24" xfId="0" applyFont="1" applyBorder="1" applyAlignment="1">
      <alignment horizontal="center" vertical="center"/>
    </xf>
    <xf numFmtId="0" fontId="10" fillId="0" borderId="26" xfId="0" applyFont="1" applyBorder="1" applyAlignment="1">
      <alignment horizontal="center" vertical="center"/>
    </xf>
    <xf numFmtId="0" fontId="10" fillId="4" borderId="9"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79" xfId="0" applyFont="1" applyFill="1" applyBorder="1" applyAlignment="1">
      <alignment horizontal="center" vertical="center" wrapText="1"/>
    </xf>
    <xf numFmtId="0" fontId="10" fillId="4" borderId="13" xfId="0" applyFont="1" applyFill="1" applyBorder="1" applyAlignment="1">
      <alignment horizontal="center" vertical="center"/>
    </xf>
    <xf numFmtId="0" fontId="10" fillId="4" borderId="26" xfId="0" applyFont="1" applyFill="1" applyBorder="1" applyAlignment="1">
      <alignment horizontal="center" vertical="center"/>
    </xf>
    <xf numFmtId="0" fontId="10" fillId="4" borderId="21" xfId="0" applyFont="1" applyFill="1" applyBorder="1" applyAlignment="1">
      <alignment horizontal="center" vertical="center"/>
    </xf>
    <xf numFmtId="0" fontId="10" fillId="4" borderId="7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27" xfId="0" applyFont="1" applyFill="1" applyBorder="1" applyAlignment="1">
      <alignment horizontal="center" vertical="center"/>
    </xf>
    <xf numFmtId="0" fontId="5" fillId="0" borderId="1" xfId="0" applyFont="1" applyBorder="1" applyAlignment="1" applyProtection="1">
      <alignment horizontal="center"/>
      <protection hidden="1"/>
    </xf>
    <xf numFmtId="0" fontId="6" fillId="0" borderId="1" xfId="0" applyFont="1" applyBorder="1" applyAlignment="1" applyProtection="1">
      <protection hidden="1"/>
    </xf>
    <xf numFmtId="0" fontId="5" fillId="0" borderId="80" xfId="0" applyFont="1" applyBorder="1" applyAlignment="1" applyProtection="1">
      <alignment horizontal="center"/>
      <protection hidden="1"/>
    </xf>
    <xf numFmtId="0" fontId="5" fillId="0" borderId="81" xfId="0" applyFont="1" applyBorder="1" applyAlignment="1" applyProtection="1">
      <alignment horizontal="center"/>
      <protection hidden="1"/>
    </xf>
    <xf numFmtId="0" fontId="5" fillId="0" borderId="82" xfId="0" applyFont="1" applyBorder="1" applyAlignment="1" applyProtection="1">
      <alignment horizontal="center"/>
      <protection hidden="1"/>
    </xf>
    <xf numFmtId="0" fontId="7" fillId="0" borderId="0" xfId="0" applyFont="1" applyAlignment="1">
      <alignment horizontal="left"/>
    </xf>
    <xf numFmtId="0" fontId="7" fillId="0" borderId="0" xfId="0" applyFont="1" applyFill="1" applyAlignment="1">
      <alignment horizontal="left"/>
    </xf>
    <xf numFmtId="0" fontId="0" fillId="0" borderId="67" xfId="0" applyBorder="1" applyAlignment="1">
      <alignment horizontal="center"/>
    </xf>
    <xf numFmtId="0" fontId="16" fillId="0" borderId="10" xfId="0" applyFont="1" applyBorder="1" applyAlignment="1">
      <alignment horizontal="center" textRotation="90"/>
    </xf>
    <xf numFmtId="0" fontId="16" fillId="0" borderId="7" xfId="0" applyFont="1" applyBorder="1" applyAlignment="1">
      <alignment horizontal="center" textRotation="90"/>
    </xf>
    <xf numFmtId="0" fontId="22" fillId="0" borderId="12" xfId="0" applyFont="1" applyBorder="1" applyAlignment="1">
      <alignment horizontal="center" wrapText="1"/>
    </xf>
    <xf numFmtId="0" fontId="22" fillId="0" borderId="14" xfId="0" applyFont="1" applyBorder="1" applyAlignment="1">
      <alignment horizontal="center" wrapText="1"/>
    </xf>
    <xf numFmtId="0" fontId="22" fillId="0" borderId="41" xfId="0" applyFont="1" applyBorder="1" applyAlignment="1">
      <alignment horizontal="center"/>
    </xf>
    <xf numFmtId="0" fontId="22" fillId="0" borderId="42" xfId="0" applyFont="1" applyBorder="1" applyAlignment="1">
      <alignment horizontal="center"/>
    </xf>
    <xf numFmtId="0" fontId="22" fillId="0" borderId="43" xfId="0" applyFont="1" applyBorder="1" applyAlignment="1">
      <alignment horizontal="center"/>
    </xf>
    <xf numFmtId="14" fontId="22" fillId="0" borderId="11" xfId="0" applyNumberFormat="1" applyFont="1" applyBorder="1" applyAlignment="1">
      <alignment horizontal="center" vertical="center"/>
    </xf>
    <xf numFmtId="14" fontId="22" fillId="0" borderId="12" xfId="0" applyNumberFormat="1" applyFont="1" applyBorder="1" applyAlignment="1">
      <alignment horizontal="center" vertical="center"/>
    </xf>
    <xf numFmtId="0" fontId="0" fillId="0" borderId="66" xfId="0" applyBorder="1" applyAlignment="1">
      <alignment horizontal="center"/>
    </xf>
    <xf numFmtId="0" fontId="24" fillId="0" borderId="0" xfId="0" applyFont="1" applyAlignment="1">
      <alignment horizontal="left" indent="2"/>
    </xf>
    <xf numFmtId="171" fontId="10" fillId="0" borderId="11" xfId="0" applyNumberFormat="1" applyFont="1" applyFill="1" applyBorder="1" applyAlignment="1">
      <alignment horizontal="center" vertical="top" wrapText="1"/>
    </xf>
    <xf numFmtId="171" fontId="10" fillId="0" borderId="2" xfId="0" applyNumberFormat="1" applyFont="1" applyFill="1" applyBorder="1" applyAlignment="1">
      <alignment horizontal="center" vertical="top" wrapText="1"/>
    </xf>
    <xf numFmtId="171" fontId="10" fillId="0" borderId="60" xfId="0" applyNumberFormat="1" applyFont="1" applyFill="1" applyBorder="1" applyAlignment="1">
      <alignment horizontal="center" vertical="top" wrapText="1"/>
    </xf>
    <xf numFmtId="0" fontId="34" fillId="0" borderId="4" xfId="0" applyFont="1" applyBorder="1" applyAlignment="1">
      <alignment horizontal="center" vertical="center"/>
    </xf>
    <xf numFmtId="0" fontId="34" fillId="0" borderId="15" xfId="0" applyFont="1" applyBorder="1" applyAlignment="1">
      <alignment horizontal="center" vertical="center"/>
    </xf>
    <xf numFmtId="0" fontId="16" fillId="0" borderId="4" xfId="0" applyFont="1" applyBorder="1" applyAlignment="1">
      <alignment horizontal="center" vertical="center"/>
    </xf>
    <xf numFmtId="0" fontId="16" fillId="0" borderId="15" xfId="0" applyFont="1" applyBorder="1" applyAlignment="1">
      <alignment horizontal="center" vertical="center"/>
    </xf>
  </cellXfs>
  <cellStyles count="4">
    <cellStyle name="Hyperlink" xfId="1" builtinId="8"/>
    <cellStyle name="Standaard" xfId="0" builtinId="0"/>
    <cellStyle name="Standaard 2" xfId="2" xr:uid="{297DFF2C-DB0D-43ED-97D9-E52DC69FEEFC}"/>
    <cellStyle name="Standaard 3" xfId="3" xr:uid="{1D68F9A5-EDB1-4876-B660-AFB9370A621B}"/>
  </cellStyles>
  <dxfs count="54">
    <dxf>
      <font>
        <color theme="0"/>
      </font>
    </dxf>
    <dxf>
      <font>
        <b/>
        <i val="0"/>
        <color rgb="FFFF0000"/>
      </font>
    </dxf>
    <dxf>
      <font>
        <b/>
        <i val="0"/>
        <color rgb="FF00B050"/>
      </font>
    </dxf>
    <dxf>
      <fill>
        <patternFill>
          <bgColor rgb="FF92D050"/>
        </patternFill>
      </fill>
    </dxf>
    <dxf>
      <fill>
        <patternFill>
          <bgColor rgb="FF92D050"/>
        </patternFill>
      </fill>
    </dxf>
    <dxf>
      <font>
        <color rgb="FFFF0000"/>
      </font>
    </dxf>
    <dxf>
      <font>
        <color rgb="FFFF0000"/>
      </font>
    </dxf>
    <dxf>
      <font>
        <color rgb="FFFF0000"/>
      </font>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auto="1"/>
      </font>
      <border>
        <left/>
        <right/>
        <top/>
        <bottom/>
        <vertical/>
        <horizontal/>
      </border>
    </dxf>
    <dxf>
      <border>
        <left/>
        <right/>
        <bottom/>
        <vertical/>
        <horizontal/>
      </border>
    </dxf>
    <dxf>
      <border>
        <left/>
        <right/>
        <bottom/>
        <vertical/>
        <horizontal/>
      </border>
    </dxf>
    <dxf>
      <border>
        <left/>
        <right/>
        <bottom/>
        <vertical/>
        <horizontal/>
      </border>
    </dxf>
    <dxf>
      <font>
        <color theme="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patternType="none">
          <fgColor indexed="64"/>
          <bgColor auto="1"/>
        </patternFill>
      </fill>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51A2CB-6DEB-4CF9-9FA8-3AC4980B8E8D}" name="tblGilden" displayName="tblGilden" ref="B2:B44" totalsRowShown="0" headerRowDxfId="53" dataDxfId="52" tableBorderDxfId="51">
  <autoFilter ref="B2:B44" xr:uid="{F051A2CB-6DEB-4CF9-9FA8-3AC4980B8E8D}"/>
  <sortState xmlns:xlrd2="http://schemas.microsoft.com/office/spreadsheetml/2017/richdata2" ref="B3:B21">
    <sortCondition ref="B21"/>
  </sortState>
  <tableColumns count="1">
    <tableColumn id="1" xr3:uid="{752215E2-4BCA-4194-A613-CC21B84D6E8F}" name="Naam" dataDxfId="50"/>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EECF84-40A2-4634-936B-8C80BCFB078F}" name="tblTypeWedstrijd" displayName="tblTypeWedstrijd" ref="D2:D5" totalsRowShown="0">
  <autoFilter ref="D2:D5" xr:uid="{D7EECF84-40A2-4634-936B-8C80BCFB078F}"/>
  <tableColumns count="1">
    <tableColumn id="1" xr3:uid="{54612393-4780-4C0B-B4B4-A7A05B1539AB}" name="TypeWedstrijd"/>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0C20AA-06E6-456D-ACD2-473AEA299DDB}" name="tblGilden4" displayName="tblGilden4" ref="F2:F23" totalsRowShown="0" headerRowDxfId="49" dataDxfId="48" tableBorderDxfId="47">
  <autoFilter ref="F2:F23" xr:uid="{550C20AA-06E6-456D-ACD2-473AEA299DDB}"/>
  <sortState xmlns:xlrd2="http://schemas.microsoft.com/office/spreadsheetml/2017/richdata2" ref="F3:F21">
    <sortCondition ref="F21"/>
  </sortState>
  <tableColumns count="1">
    <tableColumn id="1" xr3:uid="{47A6D817-4328-4DCA-A02E-DCEB8E415360}" name="Naam" dataDxfId="46"/>
  </tableColumns>
  <tableStyleInfo name="TableStyleMedium2" showFirstColumn="0" showLastColumn="0" showRowStripes="0"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BZ42"/>
  <sheetViews>
    <sheetView showGridLines="0" tabSelected="1" zoomScaleNormal="100" zoomScaleSheetLayoutView="100" workbookViewId="0">
      <selection activeCell="AI22" sqref="AI22:AO22"/>
    </sheetView>
  </sheetViews>
  <sheetFormatPr defaultColWidth="0" defaultRowHeight="12.75" zeroHeight="1" x14ac:dyDescent="0.2"/>
  <cols>
    <col min="1" max="1" width="3.28515625" style="50" bestFit="1" customWidth="1"/>
    <col min="2" max="2" width="3.28515625" style="32" customWidth="1"/>
    <col min="3" max="3" width="25.7109375" style="50" customWidth="1"/>
    <col min="4" max="9" width="5.7109375" style="50" customWidth="1"/>
    <col min="10" max="13" width="2" style="50" hidden="1" customWidth="1"/>
    <col min="14" max="14" width="0.85546875" style="50" customWidth="1"/>
    <col min="15" max="16" width="0.5703125" style="50" customWidth="1"/>
    <col min="17" max="31" width="3.5703125" style="50" customWidth="1"/>
    <col min="32" max="32" width="8.140625" style="207" hidden="1" customWidth="1"/>
    <col min="33" max="33" width="3.28515625" style="208" hidden="1" customWidth="1"/>
    <col min="34" max="34" width="6.28515625" style="31" customWidth="1"/>
    <col min="35" max="35" width="9.7109375" style="31" customWidth="1"/>
    <col min="36" max="36" width="11.28515625" style="31" customWidth="1"/>
    <col min="37" max="37" width="9" style="31" customWidth="1"/>
    <col min="38" max="38" width="5.140625" style="31" customWidth="1"/>
    <col min="39" max="39" width="7.140625" style="31" customWidth="1"/>
    <col min="40" max="40" width="9" style="31" customWidth="1"/>
    <col min="41" max="41" width="8.42578125" style="31" customWidth="1"/>
    <col min="42" max="42" width="9" style="31" customWidth="1"/>
    <col min="43" max="43" width="9" style="32" hidden="1"/>
    <col min="44" max="47" width="9" hidden="1"/>
    <col min="48" max="48" width="23" hidden="1"/>
    <col min="49" max="49" width="23.85546875" hidden="1"/>
    <col min="79" max="16384" width="9" style="32" hidden="1"/>
  </cols>
  <sheetData>
    <row r="1" spans="1:42" ht="15" customHeight="1" x14ac:dyDescent="0.25">
      <c r="A1" s="289" t="s">
        <v>0</v>
      </c>
      <c r="B1" s="297" t="s">
        <v>1</v>
      </c>
      <c r="C1" s="293" t="str">
        <f>TypeWedstrijd &amp; " - " &amp; Stand</f>
        <v>VRIENDENSCHIETING - LAREN</v>
      </c>
      <c r="D1" s="293" t="s">
        <v>2</v>
      </c>
      <c r="E1" s="293"/>
      <c r="F1" s="293"/>
      <c r="G1" s="293"/>
      <c r="H1" s="294">
        <f>IF(Datum="","",Datum)</f>
        <v>46172</v>
      </c>
      <c r="I1" s="295"/>
      <c r="J1" s="80"/>
      <c r="K1" s="198"/>
      <c r="L1" s="198"/>
      <c r="M1" s="198"/>
      <c r="N1" s="42"/>
      <c r="O1" s="42"/>
      <c r="P1" s="43"/>
      <c r="Q1" s="93" t="s">
        <v>3</v>
      </c>
      <c r="R1" s="94"/>
      <c r="S1" s="94"/>
      <c r="T1" s="94"/>
      <c r="U1" s="95"/>
      <c r="V1" s="93" t="s">
        <v>4</v>
      </c>
      <c r="W1" s="94"/>
      <c r="X1" s="94"/>
      <c r="Y1" s="95"/>
      <c r="Z1" s="93" t="s">
        <v>5</v>
      </c>
      <c r="AA1" s="94"/>
      <c r="AB1" s="94"/>
      <c r="AC1" s="95"/>
      <c r="AD1" s="93" t="s">
        <v>6</v>
      </c>
      <c r="AE1" s="95"/>
      <c r="AF1" s="205"/>
      <c r="AG1" s="296"/>
      <c r="AI1" s="30" t="s">
        <v>7</v>
      </c>
    </row>
    <row r="2" spans="1:42" x14ac:dyDescent="0.2">
      <c r="A2" s="290"/>
      <c r="B2" s="298"/>
      <c r="C2" s="84" t="s">
        <v>8</v>
      </c>
      <c r="D2" s="84" t="s">
        <v>3</v>
      </c>
      <c r="E2" s="84" t="s">
        <v>4</v>
      </c>
      <c r="F2" s="84" t="s">
        <v>5</v>
      </c>
      <c r="G2" s="84" t="s">
        <v>6</v>
      </c>
      <c r="H2" s="84" t="s">
        <v>9</v>
      </c>
      <c r="I2" s="195" t="s">
        <v>10</v>
      </c>
      <c r="J2" s="81" t="s">
        <v>11</v>
      </c>
      <c r="K2" s="84" t="s">
        <v>12</v>
      </c>
      <c r="L2" s="84" t="s">
        <v>13</v>
      </c>
      <c r="M2" s="84" t="s">
        <v>14</v>
      </c>
      <c r="N2" s="44"/>
      <c r="O2" s="44"/>
      <c r="P2" s="44"/>
      <c r="Q2" s="96">
        <v>25</v>
      </c>
      <c r="R2" s="45">
        <v>20</v>
      </c>
      <c r="S2" s="45">
        <v>16</v>
      </c>
      <c r="T2" s="45">
        <v>12</v>
      </c>
      <c r="U2" s="97">
        <v>10</v>
      </c>
      <c r="V2" s="103">
        <v>25</v>
      </c>
      <c r="W2" s="46">
        <v>20</v>
      </c>
      <c r="X2" s="46">
        <v>16</v>
      </c>
      <c r="Y2" s="104">
        <v>12</v>
      </c>
      <c r="Z2" s="103">
        <v>25</v>
      </c>
      <c r="AA2" s="47">
        <v>20</v>
      </c>
      <c r="AB2" s="47">
        <v>16</v>
      </c>
      <c r="AC2" s="109">
        <v>12</v>
      </c>
      <c r="AD2" s="103">
        <v>25</v>
      </c>
      <c r="AE2" s="109">
        <v>20</v>
      </c>
      <c r="AF2" s="206"/>
      <c r="AG2" s="296"/>
      <c r="AI2" s="299" t="s">
        <v>15</v>
      </c>
      <c r="AJ2" s="299"/>
      <c r="AK2" s="299"/>
      <c r="AL2" s="299"/>
      <c r="AM2" s="299"/>
      <c r="AN2" s="299"/>
      <c r="AO2" s="299"/>
    </row>
    <row r="3" spans="1:42" x14ac:dyDescent="0.2">
      <c r="A3" s="85"/>
      <c r="B3" s="79">
        <v>1</v>
      </c>
      <c r="C3" s="48"/>
      <c r="D3" s="49"/>
      <c r="E3" s="49"/>
      <c r="F3" s="49"/>
      <c r="G3" s="49"/>
      <c r="H3" s="49"/>
      <c r="I3" s="86"/>
      <c r="J3" s="82"/>
      <c r="K3" s="199"/>
      <c r="L3" s="199"/>
      <c r="M3" s="199"/>
      <c r="N3" s="143"/>
      <c r="Q3" s="85"/>
      <c r="R3" s="51"/>
      <c r="S3" s="52"/>
      <c r="T3" s="52"/>
      <c r="U3" s="98"/>
      <c r="V3" s="105"/>
      <c r="W3" s="52"/>
      <c r="X3" s="52"/>
      <c r="Y3" s="98"/>
      <c r="Z3" s="105"/>
      <c r="AA3" s="52"/>
      <c r="AB3" s="52"/>
      <c r="AC3" s="98"/>
      <c r="AD3" s="105"/>
      <c r="AE3" s="98"/>
      <c r="AF3" s="32" t="b" cm="1">
        <f t="array" ref="AF3">SUMPRODUCT(
  (Bedrag_per_ploeg_30&gt;0)*(D3:I3=30) +
  (Bedrag_per_ploeg_29&gt;0)*(D3:I3=29) +
  (Bedrag_per_ploeg_28&gt;0)*(D3:I3=28) +
  (Bedrag_per_ploeg_27&gt;0)*(D3:I3=27) +
  (Bedrag_per_ploeg_26&gt;0)*(D3:I3=26) +
  (Bedrag_per_ploeg_25&gt;0)*(D3:I3=25) +
  (Bedrag_per_ploeg_24&gt;0)*(D3:I3=24)
)&gt;0</f>
        <v>0</v>
      </c>
      <c r="AG3" s="204" t="str">
        <f>IF(AF3=TRUE,ROW(),"-")</f>
        <v>-</v>
      </c>
      <c r="AI3" s="282" t="s">
        <v>17</v>
      </c>
      <c r="AJ3" s="282"/>
      <c r="AK3" s="282"/>
      <c r="AL3" s="282"/>
      <c r="AM3" s="282"/>
      <c r="AN3" s="282"/>
      <c r="AO3" s="282"/>
    </row>
    <row r="4" spans="1:42" x14ac:dyDescent="0.2">
      <c r="A4" s="85"/>
      <c r="B4" s="79">
        <v>2</v>
      </c>
      <c r="C4" s="48"/>
      <c r="D4" s="49"/>
      <c r="E4" s="49"/>
      <c r="F4" s="49"/>
      <c r="G4" s="49"/>
      <c r="H4" s="49"/>
      <c r="I4" s="86"/>
      <c r="J4" s="83"/>
      <c r="K4" s="53"/>
      <c r="L4" s="53"/>
      <c r="M4" s="53"/>
      <c r="N4" s="143"/>
      <c r="Q4" s="85"/>
      <c r="R4" s="92"/>
      <c r="S4" s="99"/>
      <c r="T4" s="99"/>
      <c r="U4" s="107"/>
      <c r="V4" s="106"/>
      <c r="W4" s="99"/>
      <c r="X4" s="99"/>
      <c r="Y4" s="107"/>
      <c r="Z4" s="106"/>
      <c r="AA4" s="99"/>
      <c r="AB4" s="99"/>
      <c r="AC4" s="107"/>
      <c r="AD4" s="106"/>
      <c r="AE4" s="107"/>
      <c r="AF4" s="32" t="b" cm="1">
        <f t="array" ref="AF4">SUMPRODUCT(
  (Bedrag_per_ploeg_30&gt;0)*(D4:I4=30) +
  (Bedrag_per_ploeg_29&gt;0)*(D4:I4=29) +
  (Bedrag_per_ploeg_28&gt;0)*(D4:I4=28) +
  (Bedrag_per_ploeg_27&gt;0)*(D4:I4=27) +
  (Bedrag_per_ploeg_26&gt;0)*(D4:I4=26) +
  (Bedrag_per_ploeg_25&gt;0)*(D4:I4=25) +
  (Bedrag_per_ploeg_24&gt;0)*(D4:I4=24)
)&gt;0</f>
        <v>0</v>
      </c>
      <c r="AG4" s="204" t="str">
        <f t="shared" ref="AG4:AG27" si="0">IF(AF4=TRUE,ROW(),"-")</f>
        <v>-</v>
      </c>
      <c r="AI4" s="282" t="s">
        <v>19</v>
      </c>
      <c r="AJ4" s="282"/>
      <c r="AK4" s="282"/>
      <c r="AL4" s="282"/>
      <c r="AM4" s="282"/>
      <c r="AN4" s="282"/>
      <c r="AO4" s="282"/>
    </row>
    <row r="5" spans="1:42" x14ac:dyDescent="0.2">
      <c r="A5" s="85"/>
      <c r="B5" s="79">
        <v>3</v>
      </c>
      <c r="C5" s="48"/>
      <c r="D5" s="49"/>
      <c r="E5" s="49"/>
      <c r="F5" s="49"/>
      <c r="G5" s="49"/>
      <c r="H5" s="49"/>
      <c r="I5" s="86"/>
      <c r="J5" s="83"/>
      <c r="K5" s="53"/>
      <c r="L5" s="53"/>
      <c r="M5" s="53"/>
      <c r="N5" s="143"/>
      <c r="Q5" s="85"/>
      <c r="R5" s="92"/>
      <c r="S5" s="99"/>
      <c r="T5" s="99"/>
      <c r="U5" s="107"/>
      <c r="V5" s="106"/>
      <c r="W5" s="99"/>
      <c r="X5" s="99"/>
      <c r="Y5" s="107"/>
      <c r="Z5" s="106"/>
      <c r="AA5" s="99"/>
      <c r="AB5" s="99"/>
      <c r="AC5" s="107"/>
      <c r="AD5" s="106"/>
      <c r="AE5" s="107"/>
      <c r="AF5" s="32" t="b" cm="1">
        <f t="array" ref="AF5">SUMPRODUCT(
  (Bedrag_per_ploeg_30&gt;0)*(D5:I5=30) +
  (Bedrag_per_ploeg_29&gt;0)*(D5:I5=29) +
  (Bedrag_per_ploeg_28&gt;0)*(D5:I5=28) +
  (Bedrag_per_ploeg_27&gt;0)*(D5:I5=27) +
  (Bedrag_per_ploeg_26&gt;0)*(D5:I5=26) +
  (Bedrag_per_ploeg_25&gt;0)*(D5:I5=25) +
  (Bedrag_per_ploeg_24&gt;0)*(D5:I5=24)
)&gt;0</f>
        <v>0</v>
      </c>
      <c r="AG5" s="204" t="str">
        <f t="shared" si="0"/>
        <v>-</v>
      </c>
    </row>
    <row r="6" spans="1:42" x14ac:dyDescent="0.2">
      <c r="A6" s="85"/>
      <c r="B6" s="79">
        <v>4</v>
      </c>
      <c r="C6" s="48"/>
      <c r="D6" s="49"/>
      <c r="E6" s="49"/>
      <c r="F6" s="49"/>
      <c r="G6" s="49"/>
      <c r="H6" s="49"/>
      <c r="I6" s="86"/>
      <c r="J6" s="83"/>
      <c r="K6" s="53"/>
      <c r="L6" s="53"/>
      <c r="M6" s="53"/>
      <c r="N6" s="143"/>
      <c r="Q6" s="85"/>
      <c r="R6" s="92"/>
      <c r="S6" s="99"/>
      <c r="T6" s="99"/>
      <c r="U6" s="107"/>
      <c r="V6" s="106"/>
      <c r="W6" s="99"/>
      <c r="X6" s="99"/>
      <c r="Y6" s="107"/>
      <c r="Z6" s="106"/>
      <c r="AA6" s="99"/>
      <c r="AB6" s="99"/>
      <c r="AC6" s="107"/>
      <c r="AD6" s="106"/>
      <c r="AE6" s="107"/>
      <c r="AF6" s="32" t="b" cm="1">
        <f t="array" ref="AF6">SUMPRODUCT(
  (Bedrag_per_ploeg_30&gt;0)*(D6:I6=30) +
  (Bedrag_per_ploeg_29&gt;0)*(D6:I6=29) +
  (Bedrag_per_ploeg_28&gt;0)*(D6:I6=28) +
  (Bedrag_per_ploeg_27&gt;0)*(D6:I6=27) +
  (Bedrag_per_ploeg_26&gt;0)*(D6:I6=26) +
  (Bedrag_per_ploeg_25&gt;0)*(D6:I6=25) +
  (Bedrag_per_ploeg_24&gt;0)*(D6:I6=24)
)&gt;0</f>
        <v>0</v>
      </c>
      <c r="AG6" s="204" t="str">
        <f t="shared" si="0"/>
        <v>-</v>
      </c>
    </row>
    <row r="7" spans="1:42" x14ac:dyDescent="0.2">
      <c r="A7" s="85"/>
      <c r="B7" s="79">
        <v>5</v>
      </c>
      <c r="C7" s="48"/>
      <c r="D7" s="49"/>
      <c r="E7" s="49"/>
      <c r="F7" s="49"/>
      <c r="G7" s="49"/>
      <c r="H7" s="49"/>
      <c r="I7" s="86"/>
      <c r="J7" s="83"/>
      <c r="K7" s="53"/>
      <c r="L7" s="53"/>
      <c r="M7" s="53"/>
      <c r="N7" s="143"/>
      <c r="Q7" s="85"/>
      <c r="R7" s="92"/>
      <c r="S7" s="99"/>
      <c r="T7" s="99"/>
      <c r="U7" s="107"/>
      <c r="V7" s="106"/>
      <c r="W7" s="99"/>
      <c r="X7" s="99"/>
      <c r="Y7" s="107"/>
      <c r="Z7" s="106"/>
      <c r="AA7" s="99"/>
      <c r="AB7" s="99"/>
      <c r="AC7" s="107"/>
      <c r="AD7" s="106"/>
      <c r="AE7" s="107"/>
      <c r="AF7" s="32" t="b" cm="1">
        <f t="array" ref="AF7">SUMPRODUCT(
  (Bedrag_per_ploeg_30&gt;0)*(D7:I7=30) +
  (Bedrag_per_ploeg_29&gt;0)*(D7:I7=29) +
  (Bedrag_per_ploeg_28&gt;0)*(D7:I7=28) +
  (Bedrag_per_ploeg_27&gt;0)*(D7:I7=27) +
  (Bedrag_per_ploeg_26&gt;0)*(D7:I7=26) +
  (Bedrag_per_ploeg_25&gt;0)*(D7:I7=25) +
  (Bedrag_per_ploeg_24&gt;0)*(D7:I7=24)
)&gt;0</f>
        <v>0</v>
      </c>
      <c r="AG7" s="204" t="str">
        <f t="shared" si="0"/>
        <v>-</v>
      </c>
    </row>
    <row r="8" spans="1:42" x14ac:dyDescent="0.2">
      <c r="A8" s="85"/>
      <c r="B8" s="79">
        <v>6</v>
      </c>
      <c r="C8" s="48"/>
      <c r="D8" s="49"/>
      <c r="E8" s="49"/>
      <c r="F8" s="49"/>
      <c r="G8" s="49"/>
      <c r="H8" s="49"/>
      <c r="I8" s="86"/>
      <c r="J8" s="83"/>
      <c r="K8" s="53"/>
      <c r="L8" s="53"/>
      <c r="M8" s="53"/>
      <c r="N8" s="143"/>
      <c r="Q8" s="85"/>
      <c r="R8" s="92"/>
      <c r="S8" s="99"/>
      <c r="T8" s="99"/>
      <c r="U8" s="107"/>
      <c r="V8" s="106"/>
      <c r="W8" s="99"/>
      <c r="X8" s="99"/>
      <c r="Y8" s="107"/>
      <c r="Z8" s="106"/>
      <c r="AA8" s="99"/>
      <c r="AB8" s="99"/>
      <c r="AC8" s="107"/>
      <c r="AD8" s="106"/>
      <c r="AE8" s="107"/>
      <c r="AF8" s="32" t="b" cm="1">
        <f t="array" ref="AF8">SUMPRODUCT(
  (Bedrag_per_ploeg_30&gt;0)*(D8:I8=30) +
  (Bedrag_per_ploeg_29&gt;0)*(D8:I8=29) +
  (Bedrag_per_ploeg_28&gt;0)*(D8:I8=28) +
  (Bedrag_per_ploeg_27&gt;0)*(D8:I8=27) +
  (Bedrag_per_ploeg_26&gt;0)*(D8:I8=26) +
  (Bedrag_per_ploeg_25&gt;0)*(D8:I8=25) +
  (Bedrag_per_ploeg_24&gt;0)*(D8:I8=24)
)&gt;0</f>
        <v>0</v>
      </c>
      <c r="AG8" s="204" t="str">
        <f t="shared" si="0"/>
        <v>-</v>
      </c>
      <c r="AI8" s="30" t="s">
        <v>24</v>
      </c>
    </row>
    <row r="9" spans="1:42" x14ac:dyDescent="0.2">
      <c r="A9" s="85"/>
      <c r="B9" s="79">
        <v>7</v>
      </c>
      <c r="C9" s="48"/>
      <c r="D9" s="49"/>
      <c r="E9" s="49"/>
      <c r="F9" s="49"/>
      <c r="G9" s="49"/>
      <c r="H9" s="49"/>
      <c r="I9" s="86"/>
      <c r="J9" s="83"/>
      <c r="K9" s="53"/>
      <c r="L9" s="53"/>
      <c r="M9" s="53"/>
      <c r="N9" s="143"/>
      <c r="Q9" s="85"/>
      <c r="R9" s="92"/>
      <c r="S9" s="99"/>
      <c r="T9" s="99"/>
      <c r="U9" s="107"/>
      <c r="V9" s="106"/>
      <c r="W9" s="99"/>
      <c r="X9" s="99"/>
      <c r="Y9" s="107"/>
      <c r="Z9" s="106"/>
      <c r="AA9" s="99"/>
      <c r="AB9" s="99"/>
      <c r="AC9" s="107"/>
      <c r="AD9" s="106"/>
      <c r="AE9" s="107"/>
      <c r="AF9" s="32" t="b" cm="1">
        <f t="array" ref="AF9">SUMPRODUCT(
  (Bedrag_per_ploeg_30&gt;0)*(D9:I9=30) +
  (Bedrag_per_ploeg_29&gt;0)*(D9:I9=29) +
  (Bedrag_per_ploeg_28&gt;0)*(D9:I9=28) +
  (Bedrag_per_ploeg_27&gt;0)*(D9:I9=27) +
  (Bedrag_per_ploeg_26&gt;0)*(D9:I9=26) +
  (Bedrag_per_ploeg_25&gt;0)*(D9:I9=25) +
  (Bedrag_per_ploeg_24&gt;0)*(D9:I9=24)
)&gt;0</f>
        <v>0</v>
      </c>
      <c r="AG9" s="204" t="str">
        <f t="shared" si="0"/>
        <v>-</v>
      </c>
      <c r="AI9" s="33">
        <f>G30</f>
        <v>0</v>
      </c>
      <c r="AJ9" s="282" t="str">
        <f>"Totaal aan inschrijving ontvangen voor "&amp;D30&amp;" ploegen."</f>
        <v>Totaal aan inschrijving ontvangen voor 0 ploegen.</v>
      </c>
      <c r="AK9" s="282"/>
      <c r="AL9" s="282"/>
      <c r="AM9" s="282"/>
      <c r="AN9" s="282"/>
      <c r="AO9" s="282"/>
    </row>
    <row r="10" spans="1:42" x14ac:dyDescent="0.2">
      <c r="A10" s="85"/>
      <c r="B10" s="79">
        <v>8</v>
      </c>
      <c r="C10" s="48"/>
      <c r="D10" s="49"/>
      <c r="E10" s="49"/>
      <c r="F10" s="49"/>
      <c r="G10" s="49"/>
      <c r="H10" s="49"/>
      <c r="I10" s="86"/>
      <c r="J10" s="83"/>
      <c r="K10" s="53"/>
      <c r="L10" s="53"/>
      <c r="M10" s="53"/>
      <c r="N10" s="143"/>
      <c r="Q10" s="85"/>
      <c r="R10" s="92"/>
      <c r="S10" s="99"/>
      <c r="T10" s="99"/>
      <c r="U10" s="107"/>
      <c r="V10" s="106"/>
      <c r="W10" s="99"/>
      <c r="X10" s="99"/>
      <c r="Y10" s="107"/>
      <c r="Z10" s="106"/>
      <c r="AA10" s="99"/>
      <c r="AB10" s="99"/>
      <c r="AC10" s="107"/>
      <c r="AD10" s="106"/>
      <c r="AE10" s="107"/>
      <c r="AF10" s="32" t="b" cm="1">
        <f t="array" ref="AF10">SUMPRODUCT(
  (Bedrag_per_ploeg_30&gt;0)*(D10:I10=30) +
  (Bedrag_per_ploeg_29&gt;0)*(D10:I10=29) +
  (Bedrag_per_ploeg_28&gt;0)*(D10:I10=28) +
  (Bedrag_per_ploeg_27&gt;0)*(D10:I10=27) +
  (Bedrag_per_ploeg_26&gt;0)*(D10:I10=26) +
  (Bedrag_per_ploeg_25&gt;0)*(D10:I10=25) +
  (Bedrag_per_ploeg_24&gt;0)*(D10:I10=24)
)&gt;0</f>
        <v>0</v>
      </c>
      <c r="AG10" s="204" t="str">
        <f t="shared" si="0"/>
        <v>-</v>
      </c>
      <c r="AI10" s="33">
        <f>G40</f>
        <v>0</v>
      </c>
      <c r="AJ10" s="282" t="s">
        <v>27</v>
      </c>
      <c r="AK10" s="282"/>
      <c r="AL10" s="282"/>
      <c r="AM10" s="282"/>
      <c r="AN10" s="282"/>
      <c r="AO10" s="282"/>
      <c r="AP10" s="282"/>
    </row>
    <row r="11" spans="1:42" x14ac:dyDescent="0.2">
      <c r="A11" s="85"/>
      <c r="B11" s="79">
        <v>9</v>
      </c>
      <c r="C11" s="48"/>
      <c r="D11" s="49"/>
      <c r="E11" s="49"/>
      <c r="F11" s="49"/>
      <c r="G11" s="49"/>
      <c r="H11" s="49"/>
      <c r="I11" s="86"/>
      <c r="J11" s="83"/>
      <c r="K11" s="53"/>
      <c r="L11" s="53"/>
      <c r="M11" s="53"/>
      <c r="N11" s="143"/>
      <c r="Q11" s="85"/>
      <c r="R11" s="92"/>
      <c r="S11" s="99"/>
      <c r="T11" s="99"/>
      <c r="U11" s="107"/>
      <c r="V11" s="106"/>
      <c r="W11" s="99"/>
      <c r="X11" s="99"/>
      <c r="Y11" s="107"/>
      <c r="Z11" s="106"/>
      <c r="AA11" s="99"/>
      <c r="AB11" s="99"/>
      <c r="AC11" s="107"/>
      <c r="AD11" s="106"/>
      <c r="AE11" s="107"/>
      <c r="AF11" s="32" t="b" cm="1">
        <f t="array" ref="AF11">SUMPRODUCT(
  (Bedrag_per_ploeg_30&gt;0)*(D11:I11=30) +
  (Bedrag_per_ploeg_29&gt;0)*(D11:I11=29) +
  (Bedrag_per_ploeg_28&gt;0)*(D11:I11=28) +
  (Bedrag_per_ploeg_27&gt;0)*(D11:I11=27) +
  (Bedrag_per_ploeg_26&gt;0)*(D11:I11=26) +
  (Bedrag_per_ploeg_25&gt;0)*(D11:I11=25) +
  (Bedrag_per_ploeg_24&gt;0)*(D11:I11=24)
)&gt;0</f>
        <v>0</v>
      </c>
      <c r="AG11" s="204" t="str">
        <f t="shared" si="0"/>
        <v>-</v>
      </c>
    </row>
    <row r="12" spans="1:42" x14ac:dyDescent="0.2">
      <c r="A12" s="85"/>
      <c r="B12" s="79">
        <v>10</v>
      </c>
      <c r="C12" s="48"/>
      <c r="D12" s="49"/>
      <c r="E12" s="49"/>
      <c r="F12" s="49"/>
      <c r="G12" s="49"/>
      <c r="H12" s="49"/>
      <c r="I12" s="86"/>
      <c r="J12" s="83"/>
      <c r="K12" s="53"/>
      <c r="L12" s="53"/>
      <c r="M12" s="53"/>
      <c r="N12" s="143"/>
      <c r="Q12" s="85"/>
      <c r="R12" s="92"/>
      <c r="S12" s="99"/>
      <c r="T12" s="99"/>
      <c r="U12" s="107"/>
      <c r="V12" s="106"/>
      <c r="W12" s="99"/>
      <c r="X12" s="99"/>
      <c r="Y12" s="107"/>
      <c r="Z12" s="106"/>
      <c r="AA12" s="99"/>
      <c r="AB12" s="99"/>
      <c r="AC12" s="107"/>
      <c r="AD12" s="106"/>
      <c r="AE12" s="107"/>
      <c r="AF12" s="32" t="b" cm="1">
        <f t="array" ref="AF12">SUMPRODUCT(
  (Bedrag_per_ploeg_30&gt;0)*(D12:I12=30) +
  (Bedrag_per_ploeg_29&gt;0)*(D12:I12=29) +
  (Bedrag_per_ploeg_28&gt;0)*(D12:I12=28) +
  (Bedrag_per_ploeg_27&gt;0)*(D12:I12=27) +
  (Bedrag_per_ploeg_26&gt;0)*(D12:I12=26) +
  (Bedrag_per_ploeg_25&gt;0)*(D12:I12=25) +
  (Bedrag_per_ploeg_24&gt;0)*(D12:I12=24)
)&gt;0</f>
        <v>0</v>
      </c>
      <c r="AG12" s="204" t="str">
        <f t="shared" si="0"/>
        <v>-</v>
      </c>
    </row>
    <row r="13" spans="1:42" x14ac:dyDescent="0.2">
      <c r="A13" s="85"/>
      <c r="B13" s="79">
        <v>11</v>
      </c>
      <c r="C13" s="48"/>
      <c r="D13" s="49"/>
      <c r="E13" s="49"/>
      <c r="F13" s="49"/>
      <c r="G13" s="49"/>
      <c r="H13" s="49"/>
      <c r="I13" s="86"/>
      <c r="J13" s="83"/>
      <c r="K13" s="53"/>
      <c r="L13" s="53"/>
      <c r="M13" s="53"/>
      <c r="N13" s="143"/>
      <c r="Q13" s="85"/>
      <c r="R13" s="92"/>
      <c r="S13" s="99"/>
      <c r="T13" s="99"/>
      <c r="U13" s="107"/>
      <c r="V13" s="106"/>
      <c r="W13" s="99"/>
      <c r="X13" s="99"/>
      <c r="Y13" s="107"/>
      <c r="Z13" s="106"/>
      <c r="AA13" s="99"/>
      <c r="AB13" s="99"/>
      <c r="AC13" s="107"/>
      <c r="AD13" s="106"/>
      <c r="AE13" s="107"/>
      <c r="AF13" s="32" t="b" cm="1">
        <f t="array" ref="AF13">SUMPRODUCT(
  (Bedrag_per_ploeg_30&gt;0)*(D13:I13=30) +
  (Bedrag_per_ploeg_29&gt;0)*(D13:I13=29) +
  (Bedrag_per_ploeg_28&gt;0)*(D13:I13=28) +
  (Bedrag_per_ploeg_27&gt;0)*(D13:I13=27) +
  (Bedrag_per_ploeg_26&gt;0)*(D13:I13=26) +
  (Bedrag_per_ploeg_25&gt;0)*(D13:I13=25) +
  (Bedrag_per_ploeg_24&gt;0)*(D13:I13=24)
)&gt;0</f>
        <v>0</v>
      </c>
      <c r="AG13" s="204" t="str">
        <f t="shared" si="0"/>
        <v>-</v>
      </c>
      <c r="AI13" s="33">
        <f>SUM(Z31:AA39)</f>
        <v>0</v>
      </c>
      <c r="AJ13" s="282" t="s">
        <v>31</v>
      </c>
      <c r="AK13" s="282"/>
      <c r="AL13" s="282"/>
      <c r="AM13" s="282"/>
      <c r="AN13" s="282"/>
      <c r="AO13" s="282"/>
    </row>
    <row r="14" spans="1:42" x14ac:dyDescent="0.2">
      <c r="A14" s="85"/>
      <c r="B14" s="79">
        <v>12</v>
      </c>
      <c r="C14" s="48"/>
      <c r="D14" s="49"/>
      <c r="E14" s="49"/>
      <c r="F14" s="49"/>
      <c r="G14" s="49"/>
      <c r="H14" s="49"/>
      <c r="I14" s="86"/>
      <c r="J14" s="83"/>
      <c r="K14" s="53"/>
      <c r="L14" s="53"/>
      <c r="M14" s="53"/>
      <c r="N14" s="143"/>
      <c r="Q14" s="85"/>
      <c r="R14" s="92"/>
      <c r="S14" s="99"/>
      <c r="T14" s="99"/>
      <c r="U14" s="107"/>
      <c r="V14" s="106"/>
      <c r="W14" s="99"/>
      <c r="X14" s="99"/>
      <c r="Y14" s="107"/>
      <c r="Z14" s="106"/>
      <c r="AA14" s="99"/>
      <c r="AB14" s="99"/>
      <c r="AC14" s="107"/>
      <c r="AD14" s="106"/>
      <c r="AE14" s="107"/>
      <c r="AF14" s="32" t="b" cm="1">
        <f t="array" ref="AF14">SUMPRODUCT(
  (Bedrag_per_ploeg_30&gt;0)*(D14:I14=30) +
  (Bedrag_per_ploeg_29&gt;0)*(D14:I14=29) +
  (Bedrag_per_ploeg_28&gt;0)*(D14:I14=28) +
  (Bedrag_per_ploeg_27&gt;0)*(D14:I14=27) +
  (Bedrag_per_ploeg_26&gt;0)*(D14:I14=26) +
  (Bedrag_per_ploeg_25&gt;0)*(D14:I14=25) +
  (Bedrag_per_ploeg_24&gt;0)*(D14:I14=24)
)&gt;0</f>
        <v>0</v>
      </c>
      <c r="AG14" s="204" t="str">
        <f t="shared" si="0"/>
        <v>-</v>
      </c>
    </row>
    <row r="15" spans="1:42" x14ac:dyDescent="0.2">
      <c r="A15" s="85"/>
      <c r="B15" s="79">
        <v>13</v>
      </c>
      <c r="C15" s="48"/>
      <c r="D15" s="49"/>
      <c r="E15" s="49"/>
      <c r="F15" s="49"/>
      <c r="G15" s="49"/>
      <c r="H15" s="49"/>
      <c r="I15" s="86"/>
      <c r="J15" s="83"/>
      <c r="K15" s="53"/>
      <c r="L15" s="53"/>
      <c r="M15" s="53"/>
      <c r="N15" s="143"/>
      <c r="Q15" s="85"/>
      <c r="R15" s="92"/>
      <c r="S15" s="99"/>
      <c r="T15" s="99"/>
      <c r="U15" s="107"/>
      <c r="V15" s="106"/>
      <c r="W15" s="99"/>
      <c r="X15" s="99"/>
      <c r="Y15" s="107"/>
      <c r="Z15" s="106"/>
      <c r="AA15" s="99"/>
      <c r="AB15" s="99"/>
      <c r="AC15" s="107"/>
      <c r="AD15" s="106"/>
      <c r="AE15" s="107"/>
      <c r="AF15" s="32" t="b" cm="1">
        <f t="array" ref="AF15">SUMPRODUCT(
  (Bedrag_per_ploeg_30&gt;0)*(D15:I15=30) +
  (Bedrag_per_ploeg_29&gt;0)*(D15:I15=29) +
  (Bedrag_per_ploeg_28&gt;0)*(D15:I15=28) +
  (Bedrag_per_ploeg_27&gt;0)*(D15:I15=27) +
  (Bedrag_per_ploeg_26&gt;0)*(D15:I15=26) +
  (Bedrag_per_ploeg_25&gt;0)*(D15:I15=25) +
  (Bedrag_per_ploeg_24&gt;0)*(D15:I15=24)
)&gt;0</f>
        <v>0</v>
      </c>
      <c r="AG15" s="204" t="str">
        <f t="shared" si="0"/>
        <v>-</v>
      </c>
      <c r="AI15" s="30" t="s">
        <v>34</v>
      </c>
    </row>
    <row r="16" spans="1:42" ht="12.75" customHeight="1" x14ac:dyDescent="0.2">
      <c r="A16" s="85"/>
      <c r="B16" s="79">
        <v>14</v>
      </c>
      <c r="C16" s="48"/>
      <c r="D16" s="49"/>
      <c r="E16" s="49"/>
      <c r="F16" s="49"/>
      <c r="G16" s="49"/>
      <c r="H16" s="49"/>
      <c r="I16" s="86"/>
      <c r="J16" s="83"/>
      <c r="K16" s="53"/>
      <c r="L16" s="53"/>
      <c r="M16" s="53"/>
      <c r="N16" s="143"/>
      <c r="Q16" s="85"/>
      <c r="R16" s="92"/>
      <c r="S16" s="99"/>
      <c r="T16" s="99"/>
      <c r="U16" s="107"/>
      <c r="V16" s="106"/>
      <c r="W16" s="99"/>
      <c r="X16" s="99"/>
      <c r="Y16" s="107"/>
      <c r="Z16" s="106"/>
      <c r="AA16" s="99"/>
      <c r="AB16" s="99"/>
      <c r="AC16" s="107"/>
      <c r="AD16" s="106"/>
      <c r="AE16" s="107"/>
      <c r="AF16" s="32" t="b" cm="1">
        <f t="array" ref="AF16">SUMPRODUCT(
  (Bedrag_per_ploeg_30&gt;0)*(D16:I16=30) +
  (Bedrag_per_ploeg_29&gt;0)*(D16:I16=29) +
  (Bedrag_per_ploeg_28&gt;0)*(D16:I16=28) +
  (Bedrag_per_ploeg_27&gt;0)*(D16:I16=27) +
  (Bedrag_per_ploeg_26&gt;0)*(D16:I16=26) +
  (Bedrag_per_ploeg_25&gt;0)*(D16:I16=25) +
  (Bedrag_per_ploeg_24&gt;0)*(D16:I16=24)
)&gt;0</f>
        <v>0</v>
      </c>
      <c r="AG16" s="204" t="str">
        <f t="shared" si="0"/>
        <v>-</v>
      </c>
      <c r="AJ16" s="34" t="s">
        <v>36</v>
      </c>
      <c r="AK16" s="291" t="s">
        <v>37</v>
      </c>
      <c r="AL16" s="291"/>
      <c r="AM16" s="291"/>
      <c r="AN16" s="287" t="s">
        <v>38</v>
      </c>
      <c r="AO16" s="288"/>
      <c r="AP16" s="288"/>
    </row>
    <row r="17" spans="1:42" ht="12.75" customHeight="1" x14ac:dyDescent="0.2">
      <c r="A17" s="85"/>
      <c r="B17" s="79">
        <v>15</v>
      </c>
      <c r="C17" s="48"/>
      <c r="D17" s="49"/>
      <c r="E17" s="49"/>
      <c r="F17" s="49"/>
      <c r="G17" s="49"/>
      <c r="H17" s="49"/>
      <c r="I17" s="86"/>
      <c r="J17" s="83"/>
      <c r="K17" s="53"/>
      <c r="L17" s="53"/>
      <c r="M17" s="53"/>
      <c r="N17" s="143"/>
      <c r="Q17" s="85"/>
      <c r="R17" s="92"/>
      <c r="S17" s="99"/>
      <c r="T17" s="99"/>
      <c r="U17" s="107"/>
      <c r="V17" s="106"/>
      <c r="W17" s="99"/>
      <c r="X17" s="99"/>
      <c r="Y17" s="107"/>
      <c r="Z17" s="106"/>
      <c r="AA17" s="99"/>
      <c r="AB17" s="99"/>
      <c r="AC17" s="107"/>
      <c r="AD17" s="106"/>
      <c r="AE17" s="107"/>
      <c r="AF17" s="32" t="b" cm="1">
        <f t="array" ref="AF17">SUMPRODUCT(
  (Bedrag_per_ploeg_30&gt;0)*(D17:I17=30) +
  (Bedrag_per_ploeg_29&gt;0)*(D17:I17=29) +
  (Bedrag_per_ploeg_28&gt;0)*(D17:I17=28) +
  (Bedrag_per_ploeg_27&gt;0)*(D17:I17=27) +
  (Bedrag_per_ploeg_26&gt;0)*(D17:I17=26) +
  (Bedrag_per_ploeg_25&gt;0)*(D17:I17=25) +
  (Bedrag_per_ploeg_24&gt;0)*(D17:I17=24)
)&gt;0</f>
        <v>0</v>
      </c>
      <c r="AG17" s="204" t="str">
        <f t="shared" si="0"/>
        <v>-</v>
      </c>
      <c r="AJ17" s="34" t="s">
        <v>40</v>
      </c>
      <c r="AK17" s="291" t="s">
        <v>20</v>
      </c>
      <c r="AL17" s="291"/>
      <c r="AM17" s="291"/>
      <c r="AN17" s="287"/>
      <c r="AO17" s="288"/>
      <c r="AP17" s="288"/>
    </row>
    <row r="18" spans="1:42" ht="12.75" customHeight="1" x14ac:dyDescent="0.2">
      <c r="A18" s="85"/>
      <c r="B18" s="79">
        <v>16</v>
      </c>
      <c r="C18" s="48"/>
      <c r="D18" s="49"/>
      <c r="E18" s="49"/>
      <c r="F18" s="49"/>
      <c r="G18" s="49"/>
      <c r="H18" s="49"/>
      <c r="I18" s="86"/>
      <c r="J18" s="83"/>
      <c r="K18" s="53"/>
      <c r="L18" s="53"/>
      <c r="M18" s="53"/>
      <c r="N18" s="143"/>
      <c r="Q18" s="85"/>
      <c r="R18" s="92"/>
      <c r="S18" s="99"/>
      <c r="T18" s="99"/>
      <c r="U18" s="107"/>
      <c r="V18" s="85"/>
      <c r="W18" s="92"/>
      <c r="X18" s="99"/>
      <c r="Y18" s="107"/>
      <c r="Z18" s="106"/>
      <c r="AA18" s="99"/>
      <c r="AB18" s="99"/>
      <c r="AC18" s="107"/>
      <c r="AD18" s="106"/>
      <c r="AE18" s="107"/>
      <c r="AF18" s="32" t="b" cm="1">
        <f t="array" ref="AF18">SUMPRODUCT(
  (Bedrag_per_ploeg_30&gt;0)*(D18:I18=30) +
  (Bedrag_per_ploeg_29&gt;0)*(D18:I18=29) +
  (Bedrag_per_ploeg_28&gt;0)*(D18:I18=28) +
  (Bedrag_per_ploeg_27&gt;0)*(D18:I18=27) +
  (Bedrag_per_ploeg_26&gt;0)*(D18:I18=26) +
  (Bedrag_per_ploeg_25&gt;0)*(D18:I18=25) +
  (Bedrag_per_ploeg_24&gt;0)*(D18:I18=24)
)&gt;0</f>
        <v>0</v>
      </c>
      <c r="AG18" s="204" t="str">
        <f t="shared" si="0"/>
        <v>-</v>
      </c>
      <c r="AJ18" s="34" t="s">
        <v>42</v>
      </c>
      <c r="AK18" s="292">
        <v>46172</v>
      </c>
      <c r="AL18" s="291"/>
      <c r="AM18" s="291"/>
      <c r="AN18" s="287"/>
      <c r="AO18" s="288"/>
      <c r="AP18" s="288"/>
    </row>
    <row r="19" spans="1:42" ht="12.75" customHeight="1" x14ac:dyDescent="0.2">
      <c r="A19" s="85"/>
      <c r="B19" s="79">
        <v>17</v>
      </c>
      <c r="C19" s="48"/>
      <c r="D19" s="49"/>
      <c r="E19" s="49"/>
      <c r="F19" s="49"/>
      <c r="G19" s="49"/>
      <c r="H19" s="49"/>
      <c r="I19" s="86"/>
      <c r="J19" s="83"/>
      <c r="K19" s="53"/>
      <c r="L19" s="53"/>
      <c r="M19" s="53"/>
      <c r="N19" s="143"/>
      <c r="Q19" s="85"/>
      <c r="R19" s="92"/>
      <c r="S19" s="99"/>
      <c r="T19" s="99"/>
      <c r="U19" s="107"/>
      <c r="V19" s="106"/>
      <c r="W19" s="99"/>
      <c r="X19" s="99"/>
      <c r="Y19" s="107"/>
      <c r="Z19" s="106"/>
      <c r="AA19" s="99"/>
      <c r="AB19" s="99"/>
      <c r="AC19" s="107"/>
      <c r="AD19" s="106"/>
      <c r="AE19" s="107"/>
      <c r="AF19" s="32" t="b" cm="1">
        <f t="array" ref="AF19">SUMPRODUCT(
  (Bedrag_per_ploeg_30&gt;0)*(D19:I19=30) +
  (Bedrag_per_ploeg_29&gt;0)*(D19:I19=29) +
  (Bedrag_per_ploeg_28&gt;0)*(D19:I19=28) +
  (Bedrag_per_ploeg_27&gt;0)*(D19:I19=27) +
  (Bedrag_per_ploeg_26&gt;0)*(D19:I19=26) +
  (Bedrag_per_ploeg_25&gt;0)*(D19:I19=25) +
  (Bedrag_per_ploeg_24&gt;0)*(D19:I19=24)
)&gt;0</f>
        <v>0</v>
      </c>
      <c r="AG19" s="204" t="str">
        <f t="shared" si="0"/>
        <v>-</v>
      </c>
      <c r="AJ19" s="34" t="s">
        <v>143</v>
      </c>
      <c r="AK19" s="286">
        <v>2</v>
      </c>
      <c r="AL19" s="286"/>
      <c r="AM19" s="286"/>
      <c r="AN19" s="287"/>
      <c r="AO19" s="288"/>
      <c r="AP19" s="288"/>
    </row>
    <row r="20" spans="1:42" x14ac:dyDescent="0.2">
      <c r="A20" s="85"/>
      <c r="B20" s="79">
        <v>18</v>
      </c>
      <c r="C20" s="48"/>
      <c r="D20" s="49"/>
      <c r="E20" s="49"/>
      <c r="F20" s="49"/>
      <c r="G20" s="49"/>
      <c r="H20" s="49"/>
      <c r="I20" s="86"/>
      <c r="J20" s="83"/>
      <c r="K20" s="53"/>
      <c r="L20" s="53"/>
      <c r="M20" s="53"/>
      <c r="N20" s="143"/>
      <c r="Q20" s="85"/>
      <c r="R20" s="92"/>
      <c r="S20" s="99"/>
      <c r="T20" s="99"/>
      <c r="U20" s="107"/>
      <c r="V20" s="85"/>
      <c r="W20" s="92"/>
      <c r="X20" s="99"/>
      <c r="Y20" s="107"/>
      <c r="Z20" s="106"/>
      <c r="AA20" s="99"/>
      <c r="AB20" s="99"/>
      <c r="AC20" s="107"/>
      <c r="AD20" s="106"/>
      <c r="AE20" s="107"/>
      <c r="AF20" s="32" t="b" cm="1">
        <f t="array" ref="AF20">SUMPRODUCT(
  (Bedrag_per_ploeg_30&gt;0)*(D20:I20=30) +
  (Bedrag_per_ploeg_29&gt;0)*(D20:I20=29) +
  (Bedrag_per_ploeg_28&gt;0)*(D20:I20=28) +
  (Bedrag_per_ploeg_27&gt;0)*(D20:I20=27) +
  (Bedrag_per_ploeg_26&gt;0)*(D20:I20=26) +
  (Bedrag_per_ploeg_25&gt;0)*(D20:I20=25) +
  (Bedrag_per_ploeg_24&gt;0)*(D20:I20=24)
)&gt;0</f>
        <v>0</v>
      </c>
      <c r="AG20" s="204" t="str">
        <f t="shared" si="0"/>
        <v>-</v>
      </c>
    </row>
    <row r="21" spans="1:42" x14ac:dyDescent="0.2">
      <c r="A21" s="85"/>
      <c r="B21" s="79">
        <v>19</v>
      </c>
      <c r="C21" s="48"/>
      <c r="D21" s="49"/>
      <c r="E21" s="49"/>
      <c r="F21" s="49"/>
      <c r="G21" s="49"/>
      <c r="H21" s="49"/>
      <c r="I21" s="86"/>
      <c r="J21" s="83"/>
      <c r="K21" s="53"/>
      <c r="L21" s="53"/>
      <c r="M21" s="53"/>
      <c r="N21" s="143"/>
      <c r="Q21" s="85"/>
      <c r="R21" s="92"/>
      <c r="S21" s="99"/>
      <c r="T21" s="99"/>
      <c r="U21" s="107"/>
      <c r="V21" s="85"/>
      <c r="W21" s="92"/>
      <c r="X21" s="99"/>
      <c r="Y21" s="107"/>
      <c r="Z21" s="85"/>
      <c r="AA21" s="92"/>
      <c r="AB21" s="99"/>
      <c r="AC21" s="107"/>
      <c r="AD21" s="106"/>
      <c r="AE21" s="107"/>
      <c r="AF21" s="32" t="b" cm="1">
        <f t="array" ref="AF21">SUMPRODUCT(
  (Bedrag_per_ploeg_30&gt;0)*(D21:I21=30) +
  (Bedrag_per_ploeg_29&gt;0)*(D21:I21=29) +
  (Bedrag_per_ploeg_28&gt;0)*(D21:I21=28) +
  (Bedrag_per_ploeg_27&gt;0)*(D21:I21=27) +
  (Bedrag_per_ploeg_26&gt;0)*(D21:I21=26) +
  (Bedrag_per_ploeg_25&gt;0)*(D21:I21=25) +
  (Bedrag_per_ploeg_24&gt;0)*(D21:I21=24)
)&gt;0</f>
        <v>0</v>
      </c>
      <c r="AG21" s="204" t="str">
        <f t="shared" si="0"/>
        <v>-</v>
      </c>
      <c r="AI21" s="30" t="s">
        <v>46</v>
      </c>
    </row>
    <row r="22" spans="1:42" ht="12.75" customHeight="1" x14ac:dyDescent="0.2">
      <c r="A22" s="85"/>
      <c r="B22" s="79">
        <v>20</v>
      </c>
      <c r="C22" s="48"/>
      <c r="D22" s="49"/>
      <c r="E22" s="49"/>
      <c r="F22" s="49"/>
      <c r="G22" s="49"/>
      <c r="H22" s="49"/>
      <c r="I22" s="86"/>
      <c r="J22" s="150"/>
      <c r="K22" s="151"/>
      <c r="L22" s="151"/>
      <c r="M22" s="151"/>
      <c r="N22" s="148"/>
      <c r="O22" s="149"/>
      <c r="P22" s="149"/>
      <c r="Q22" s="85"/>
      <c r="R22" s="92"/>
      <c r="S22" s="99"/>
      <c r="T22" s="99"/>
      <c r="U22" s="107"/>
      <c r="V22" s="106"/>
      <c r="W22" s="99"/>
      <c r="X22" s="99"/>
      <c r="Y22" s="107"/>
      <c r="Z22" s="106"/>
      <c r="AA22" s="99"/>
      <c r="AB22" s="99"/>
      <c r="AC22" s="107"/>
      <c r="AD22" s="106"/>
      <c r="AE22" s="107"/>
      <c r="AF22" s="32" t="b" cm="1">
        <f t="array" ref="AF22">SUMPRODUCT(
  (Bedrag_per_ploeg_30&gt;0)*(D22:I22=30) +
  (Bedrag_per_ploeg_29&gt;0)*(D22:I22=29) +
  (Bedrag_per_ploeg_28&gt;0)*(D22:I22=28) +
  (Bedrag_per_ploeg_27&gt;0)*(D22:I22=27) +
  (Bedrag_per_ploeg_26&gt;0)*(D22:I22=26) +
  (Bedrag_per_ploeg_25&gt;0)*(D22:I22=25) +
  (Bedrag_per_ploeg_24&gt;0)*(D22:I22=24)
)&gt;0</f>
        <v>0</v>
      </c>
      <c r="AG22" s="204" t="str">
        <f t="shared" si="0"/>
        <v>-</v>
      </c>
      <c r="AI22" s="283" t="str">
        <f>"Je hebt " &amp; COUNTIF(winstdeelname,TRUE) &amp; " enveloppen nodig voor de winstdeelname."</f>
        <v>Je hebt 0 enveloppen nodig voor de winstdeelname.</v>
      </c>
      <c r="AJ22" s="283"/>
      <c r="AK22" s="283"/>
      <c r="AL22" s="283"/>
      <c r="AM22" s="283"/>
      <c r="AN22" s="283"/>
      <c r="AO22" s="283"/>
    </row>
    <row r="23" spans="1:42" ht="12.75" customHeight="1" x14ac:dyDescent="0.2">
      <c r="A23" s="85"/>
      <c r="B23" s="79">
        <v>21</v>
      </c>
      <c r="C23" s="48"/>
      <c r="D23" s="49"/>
      <c r="E23" s="49"/>
      <c r="F23" s="49"/>
      <c r="G23" s="49"/>
      <c r="H23" s="49"/>
      <c r="I23" s="86"/>
      <c r="J23" s="150"/>
      <c r="K23" s="151"/>
      <c r="L23" s="151"/>
      <c r="M23" s="151"/>
      <c r="N23" s="148"/>
      <c r="O23" s="149"/>
      <c r="P23" s="149"/>
      <c r="Q23" s="85"/>
      <c r="R23" s="92"/>
      <c r="S23" s="99"/>
      <c r="T23" s="99"/>
      <c r="U23" s="107"/>
      <c r="V23" s="106"/>
      <c r="W23" s="99"/>
      <c r="X23" s="99"/>
      <c r="Y23" s="107"/>
      <c r="Z23" s="106"/>
      <c r="AA23" s="99"/>
      <c r="AB23" s="99"/>
      <c r="AC23" s="107"/>
      <c r="AD23" s="106"/>
      <c r="AE23" s="107"/>
      <c r="AF23" s="32" t="b" cm="1">
        <f t="array" ref="AF23">SUMPRODUCT(
  (Bedrag_per_ploeg_30&gt;0)*(D23:I23=30) +
  (Bedrag_per_ploeg_29&gt;0)*(D23:I23=29) +
  (Bedrag_per_ploeg_28&gt;0)*(D23:I23=28) +
  (Bedrag_per_ploeg_27&gt;0)*(D23:I23=27) +
  (Bedrag_per_ploeg_26&gt;0)*(D23:I23=26) +
  (Bedrag_per_ploeg_25&gt;0)*(D23:I23=25) +
  (Bedrag_per_ploeg_24&gt;0)*(D23:I23=24)
)&gt;0</f>
        <v>0</v>
      </c>
      <c r="AG23" s="204" t="str">
        <f t="shared" si="0"/>
        <v>-</v>
      </c>
      <c r="AI23" s="153"/>
      <c r="AJ23" s="153"/>
      <c r="AK23" s="153"/>
      <c r="AL23" s="153"/>
      <c r="AM23" s="153"/>
      <c r="AN23" s="153"/>
    </row>
    <row r="24" spans="1:42" x14ac:dyDescent="0.2">
      <c r="A24" s="85"/>
      <c r="B24" s="79">
        <v>22</v>
      </c>
      <c r="C24" s="48"/>
      <c r="D24" s="49"/>
      <c r="E24" s="49"/>
      <c r="F24" s="49"/>
      <c r="G24" s="49"/>
      <c r="H24" s="49"/>
      <c r="I24" s="86"/>
      <c r="J24" s="150"/>
      <c r="K24" s="151"/>
      <c r="L24" s="151"/>
      <c r="M24" s="151"/>
      <c r="N24" s="148"/>
      <c r="O24" s="149"/>
      <c r="P24" s="149"/>
      <c r="Q24" s="85"/>
      <c r="R24" s="92"/>
      <c r="S24" s="99"/>
      <c r="T24" s="99"/>
      <c r="U24" s="107"/>
      <c r="V24" s="106"/>
      <c r="W24" s="99"/>
      <c r="X24" s="99"/>
      <c r="Y24" s="107"/>
      <c r="Z24" s="106"/>
      <c r="AA24" s="99"/>
      <c r="AB24" s="99"/>
      <c r="AC24" s="107"/>
      <c r="AD24" s="106"/>
      <c r="AE24" s="107"/>
      <c r="AF24" s="32" t="b" cm="1">
        <f t="array" ref="AF24">SUMPRODUCT(
  (Bedrag_per_ploeg_30&gt;0)*(D24:I24=30) +
  (Bedrag_per_ploeg_29&gt;0)*(D24:I24=29) +
  (Bedrag_per_ploeg_28&gt;0)*(D24:I24=28) +
  (Bedrag_per_ploeg_27&gt;0)*(D24:I24=27) +
  (Bedrag_per_ploeg_26&gt;0)*(D24:I24=26) +
  (Bedrag_per_ploeg_25&gt;0)*(D24:I24=25) +
  (Bedrag_per_ploeg_24&gt;0)*(D24:I24=24)
)&gt;0</f>
        <v>0</v>
      </c>
      <c r="AG24" s="204" t="str">
        <f t="shared" si="0"/>
        <v>-</v>
      </c>
      <c r="AI24" s="30" t="s">
        <v>47</v>
      </c>
      <c r="AJ24" s="153"/>
      <c r="AK24" s="153"/>
      <c r="AL24" s="153"/>
      <c r="AM24" s="153"/>
      <c r="AN24" s="153"/>
    </row>
    <row r="25" spans="1:42" x14ac:dyDescent="0.2">
      <c r="A25" s="85"/>
      <c r="B25" s="79">
        <v>23</v>
      </c>
      <c r="C25" s="48"/>
      <c r="D25" s="49"/>
      <c r="E25" s="49"/>
      <c r="F25" s="49"/>
      <c r="G25" s="49"/>
      <c r="H25" s="49"/>
      <c r="I25" s="86"/>
      <c r="J25" s="150"/>
      <c r="K25" s="151"/>
      <c r="L25" s="151"/>
      <c r="M25" s="151"/>
      <c r="N25" s="148"/>
      <c r="O25" s="149"/>
      <c r="P25" s="149"/>
      <c r="Q25" s="85"/>
      <c r="R25" s="92"/>
      <c r="S25" s="99"/>
      <c r="T25" s="99"/>
      <c r="U25" s="107"/>
      <c r="V25" s="106"/>
      <c r="W25" s="99"/>
      <c r="X25" s="99"/>
      <c r="Y25" s="107"/>
      <c r="Z25" s="106"/>
      <c r="AA25" s="99"/>
      <c r="AB25" s="99"/>
      <c r="AC25" s="107"/>
      <c r="AD25" s="106"/>
      <c r="AE25" s="107"/>
      <c r="AF25" s="32" t="b" cm="1">
        <f t="array" ref="AF25">SUMPRODUCT(
  (Bedrag_per_ploeg_30&gt;0)*(D25:I25=30) +
  (Bedrag_per_ploeg_29&gt;0)*(D25:I25=29) +
  (Bedrag_per_ploeg_28&gt;0)*(D25:I25=28) +
  (Bedrag_per_ploeg_27&gt;0)*(D25:I25=27) +
  (Bedrag_per_ploeg_26&gt;0)*(D25:I25=26) +
  (Bedrag_per_ploeg_25&gt;0)*(D25:I25=25) +
  (Bedrag_per_ploeg_24&gt;0)*(D25:I25=24)
)&gt;0</f>
        <v>0</v>
      </c>
      <c r="AG25" s="204" t="str">
        <f t="shared" si="0"/>
        <v>-</v>
      </c>
      <c r="AI25" s="282" t="s">
        <v>48</v>
      </c>
      <c r="AJ25" s="282"/>
      <c r="AK25" s="282"/>
      <c r="AL25" s="282"/>
      <c r="AM25" s="282"/>
      <c r="AN25" s="282"/>
      <c r="AO25" s="282"/>
    </row>
    <row r="26" spans="1:42" x14ac:dyDescent="0.2">
      <c r="A26" s="85"/>
      <c r="B26" s="79">
        <v>24</v>
      </c>
      <c r="C26" s="48"/>
      <c r="D26" s="49"/>
      <c r="E26" s="49"/>
      <c r="F26" s="49"/>
      <c r="G26" s="49"/>
      <c r="H26" s="49"/>
      <c r="I26" s="86"/>
      <c r="J26" s="150"/>
      <c r="K26" s="151"/>
      <c r="L26" s="151"/>
      <c r="M26" s="151"/>
      <c r="N26" s="148"/>
      <c r="O26" s="149"/>
      <c r="P26" s="149"/>
      <c r="Q26" s="85"/>
      <c r="R26" s="92"/>
      <c r="S26" s="99"/>
      <c r="T26" s="99"/>
      <c r="U26" s="107"/>
      <c r="V26" s="106"/>
      <c r="W26" s="99"/>
      <c r="X26" s="99"/>
      <c r="Y26" s="107"/>
      <c r="Z26" s="106"/>
      <c r="AA26" s="99"/>
      <c r="AB26" s="99"/>
      <c r="AC26" s="107"/>
      <c r="AD26" s="106"/>
      <c r="AE26" s="107"/>
      <c r="AF26" s="32" t="b" cm="1">
        <f t="array" ref="AF26">SUMPRODUCT(
  (Bedrag_per_ploeg_30&gt;0)*(D26:I26=30) +
  (Bedrag_per_ploeg_29&gt;0)*(D26:I26=29) +
  (Bedrag_per_ploeg_28&gt;0)*(D26:I26=28) +
  (Bedrag_per_ploeg_27&gt;0)*(D26:I26=27) +
  (Bedrag_per_ploeg_26&gt;0)*(D26:I26=26) +
  (Bedrag_per_ploeg_25&gt;0)*(D26:I26=25) +
  (Bedrag_per_ploeg_24&gt;0)*(D26:I26=24)
)&gt;0</f>
        <v>0</v>
      </c>
      <c r="AG26" s="204" t="str">
        <f t="shared" si="0"/>
        <v>-</v>
      </c>
      <c r="AI26" s="153"/>
      <c r="AJ26" s="153"/>
      <c r="AK26" s="153"/>
      <c r="AL26" s="153"/>
      <c r="AM26" s="153"/>
      <c r="AN26" s="153"/>
    </row>
    <row r="27" spans="1:42" ht="13.5" thickBot="1" x14ac:dyDescent="0.25">
      <c r="A27" s="87"/>
      <c r="B27" s="88">
        <v>25</v>
      </c>
      <c r="C27" s="89"/>
      <c r="D27" s="90"/>
      <c r="E27" s="90"/>
      <c r="F27" s="90"/>
      <c r="G27" s="90"/>
      <c r="H27" s="90"/>
      <c r="I27" s="91"/>
      <c r="J27" s="150"/>
      <c r="K27" s="151"/>
      <c r="L27" s="151"/>
      <c r="M27" s="151"/>
      <c r="N27" s="148"/>
      <c r="O27" s="149"/>
      <c r="P27" s="149"/>
      <c r="Q27" s="87"/>
      <c r="R27" s="100"/>
      <c r="S27" s="101"/>
      <c r="T27" s="101"/>
      <c r="U27" s="102"/>
      <c r="V27" s="108"/>
      <c r="W27" s="101"/>
      <c r="X27" s="101"/>
      <c r="Y27" s="102"/>
      <c r="Z27" s="108"/>
      <c r="AA27" s="101"/>
      <c r="AB27" s="101"/>
      <c r="AC27" s="102"/>
      <c r="AD27" s="108"/>
      <c r="AE27" s="102"/>
      <c r="AF27" s="32" t="b" cm="1">
        <f t="array" ref="AF27">SUMPRODUCT(
  (Bedrag_per_ploeg_30&gt;0)*(D27:I27=30) +
  (Bedrag_per_ploeg_29&gt;0)*(D27:I27=29) +
  (Bedrag_per_ploeg_28&gt;0)*(D27:I27=28) +
  (Bedrag_per_ploeg_27&gt;0)*(D27:I27=27) +
  (Bedrag_per_ploeg_26&gt;0)*(D27:I27=26) +
  (Bedrag_per_ploeg_25&gt;0)*(D27:I27=25) +
  (Bedrag_per_ploeg_24&gt;0)*(D27:I27=24)
)&gt;0</f>
        <v>0</v>
      </c>
      <c r="AG27" s="204" t="str">
        <f t="shared" si="0"/>
        <v>-</v>
      </c>
      <c r="AI27" s="261" t="s">
        <v>49</v>
      </c>
      <c r="AJ27" s="262"/>
      <c r="AK27" s="263"/>
      <c r="AL27" s="153"/>
      <c r="AM27" s="153"/>
      <c r="AN27" s="153"/>
    </row>
    <row r="28" spans="1:42" x14ac:dyDescent="0.2">
      <c r="AF28" s="32"/>
      <c r="AI28" s="264" t="s">
        <v>144</v>
      </c>
      <c r="AJ28" s="265"/>
      <c r="AK28" s="265"/>
      <c r="AL28" s="155"/>
    </row>
    <row r="29" spans="1:42" ht="15" x14ac:dyDescent="0.25">
      <c r="C29" s="43" t="s">
        <v>50</v>
      </c>
      <c r="AI29" s="284"/>
      <c r="AJ29" s="284"/>
      <c r="AK29" s="284"/>
      <c r="AL29" s="285"/>
    </row>
    <row r="30" spans="1:42" ht="15" x14ac:dyDescent="0.25">
      <c r="C30" s="50" t="s">
        <v>51</v>
      </c>
      <c r="D30" s="50">
        <f>COUNT(Ploegen!D3:L27)</f>
        <v>0</v>
      </c>
      <c r="E30" s="54" t="s">
        <v>52</v>
      </c>
      <c r="F30" s="267">
        <f>Tabellen!I3</f>
        <v>2</v>
      </c>
      <c r="G30" s="307">
        <f>aantal_ploegen*F30</f>
        <v>0</v>
      </c>
      <c r="H30" s="307"/>
      <c r="Q30" s="43" t="s">
        <v>53</v>
      </c>
      <c r="AI30" s="284"/>
      <c r="AJ30" s="284"/>
      <c r="AK30" s="284"/>
      <c r="AL30" s="285"/>
      <c r="AM30" s="33"/>
    </row>
    <row r="31" spans="1:42" ht="15" customHeight="1" x14ac:dyDescent="0.2">
      <c r="Q31" s="140" t="str">
        <f>IF(T31="","","1ste plaats")</f>
        <v/>
      </c>
      <c r="R31" s="139"/>
      <c r="S31" s="139"/>
      <c r="T31" s="140" t="str" cm="1">
        <f t="array" ref="T31:T40">'Bepaling dagprijs'!U6:U15</f>
        <v/>
      </c>
      <c r="U31" s="140"/>
      <c r="V31" s="139"/>
      <c r="W31" s="139"/>
      <c r="X31" s="139"/>
      <c r="Y31" s="139"/>
      <c r="Z31" s="301" t="str">
        <f>IF(T31="","",'Bepaling dagprijs'!F24)</f>
        <v/>
      </c>
      <c r="AA31" s="301"/>
      <c r="AB31" s="301"/>
      <c r="AH31" s="154"/>
      <c r="AL31" s="280"/>
      <c r="AM31" s="281"/>
      <c r="AN31" s="281"/>
    </row>
    <row r="32" spans="1:42" ht="15" x14ac:dyDescent="0.25">
      <c r="C32" s="43" t="s">
        <v>54</v>
      </c>
      <c r="Q32" s="140" t="str">
        <f>IF(T32="","",IF('Bepaling dagprijs'!D24&gt;1,"","2de plaats"))</f>
        <v/>
      </c>
      <c r="R32" s="139"/>
      <c r="S32" s="139"/>
      <c r="T32" s="140" t="str">
        <v/>
      </c>
      <c r="U32" s="140"/>
      <c r="V32" s="139"/>
      <c r="W32" s="139"/>
      <c r="X32" s="139"/>
      <c r="Y32" s="139"/>
      <c r="Z32" s="301" t="str">
        <f>IF(T32="","",IF('Bepaling dagprijs'!D24&gt;=2,'Bepaling dagprijs'!F24,'Bepaling dagprijs'!F25))</f>
        <v/>
      </c>
      <c r="AA32" s="301"/>
      <c r="AB32" s="301"/>
      <c r="AL32" s="280"/>
      <c r="AM32" s="281"/>
      <c r="AN32" s="281"/>
    </row>
    <row r="33" spans="1:40" ht="15" customHeight="1" x14ac:dyDescent="0.2">
      <c r="C33" s="50" t="s">
        <v>55</v>
      </c>
      <c r="D33" s="50">
        <f>Aantal_30</f>
        <v>0</v>
      </c>
      <c r="E33" s="54" t="s">
        <v>52</v>
      </c>
      <c r="F33" s="50">
        <f>IF(aantal_ploegen&lt;4,0,Bedrag_per_ploeg_30)</f>
        <v>0</v>
      </c>
      <c r="G33" s="304">
        <f>D33*F33</f>
        <v>0</v>
      </c>
      <c r="H33" s="304"/>
      <c r="Q33" s="140" t="str">
        <f>IF(T33="","",IF('Bepaling dagprijs'!D26&lt;&gt;"","3de plaats",""))</f>
        <v/>
      </c>
      <c r="R33" s="140"/>
      <c r="S33" s="140"/>
      <c r="T33" s="140" t="str">
        <v/>
      </c>
      <c r="U33" s="140"/>
      <c r="V33" s="139"/>
      <c r="W33" s="139"/>
      <c r="X33" s="139"/>
      <c r="Y33" s="139"/>
      <c r="Z33" s="301" t="str">
        <f>IF(T33="","",IF('Bepaling dagprijs'!D24&gt;=3,'Bepaling dagprijs'!F24,IF('Bepaling dagprijs'!D24+'Bepaling dagprijs'!D25&gt;=3,'Bepaling dagprijs'!F25,'Bepaling dagprijs'!F26)))</f>
        <v/>
      </c>
      <c r="AA33" s="301"/>
      <c r="AB33" s="301"/>
      <c r="AL33" s="280"/>
      <c r="AM33" s="281"/>
      <c r="AN33" s="281"/>
    </row>
    <row r="34" spans="1:40" x14ac:dyDescent="0.2">
      <c r="C34" s="50" t="s">
        <v>56</v>
      </c>
      <c r="D34" s="50">
        <f>Aantal_29</f>
        <v>0</v>
      </c>
      <c r="E34" s="54" t="s">
        <v>52</v>
      </c>
      <c r="F34" s="50">
        <f>IF(aantal_ploegen&lt;4,0,Bedrag_per_ploeg_29)</f>
        <v>0</v>
      </c>
      <c r="G34" s="304">
        <f t="shared" ref="G34:G39" si="1">D34*F34</f>
        <v>0</v>
      </c>
      <c r="H34" s="304"/>
      <c r="Q34" s="140"/>
      <c r="R34" s="139"/>
      <c r="S34" s="139"/>
      <c r="T34" s="140" t="str">
        <v/>
      </c>
      <c r="U34" s="139"/>
      <c r="V34" s="139"/>
      <c r="W34" s="139"/>
      <c r="X34" s="139"/>
      <c r="Y34" s="139"/>
      <c r="Z34" s="301" t="str">
        <f>IF(T34&lt;&gt;"",Z33,"")</f>
        <v/>
      </c>
      <c r="AA34" s="301"/>
      <c r="AB34" s="301"/>
      <c r="AL34" s="280"/>
      <c r="AM34" s="281"/>
      <c r="AN34" s="281"/>
    </row>
    <row r="35" spans="1:40" x14ac:dyDescent="0.2">
      <c r="C35" s="50" t="s">
        <v>57</v>
      </c>
      <c r="D35" s="50">
        <f>Aantal_28</f>
        <v>0</v>
      </c>
      <c r="E35" s="54" t="s">
        <v>52</v>
      </c>
      <c r="F35" s="50">
        <f>IF(aantal_ploegen&lt;4,0,Bedrag_per_ploeg_28)</f>
        <v>0</v>
      </c>
      <c r="G35" s="304">
        <f t="shared" si="1"/>
        <v>0</v>
      </c>
      <c r="H35" s="304"/>
      <c r="T35" s="140" t="str">
        <v/>
      </c>
      <c r="U35" s="139"/>
      <c r="V35" s="139"/>
      <c r="W35" s="139"/>
      <c r="X35" s="139"/>
      <c r="Y35" s="139"/>
      <c r="Z35" s="301" t="str">
        <f>IF(T35&lt;&gt;"",Z34,"")</f>
        <v/>
      </c>
      <c r="AA35" s="301"/>
      <c r="AB35" s="301"/>
      <c r="AE35" s="278"/>
      <c r="AI35" s="154"/>
      <c r="AL35" s="280"/>
      <c r="AM35" s="281"/>
      <c r="AN35" s="281"/>
    </row>
    <row r="36" spans="1:40" x14ac:dyDescent="0.2">
      <c r="C36" s="50" t="s">
        <v>58</v>
      </c>
      <c r="D36" s="50">
        <f>Aantal_27</f>
        <v>0</v>
      </c>
      <c r="E36" s="54" t="s">
        <v>52</v>
      </c>
      <c r="F36" s="50">
        <f>IF(aantal_ploegen&lt;4,0,Bedrag_per_ploeg_27)</f>
        <v>0</v>
      </c>
      <c r="G36" s="304">
        <f t="shared" si="1"/>
        <v>0</v>
      </c>
      <c r="H36" s="304"/>
      <c r="Q36" s="140"/>
      <c r="R36" s="139"/>
      <c r="S36" s="139"/>
      <c r="T36" s="140" t="str">
        <v/>
      </c>
      <c r="U36" s="139"/>
      <c r="V36" s="139"/>
      <c r="W36" s="139"/>
      <c r="X36" s="139"/>
      <c r="Y36" s="139"/>
      <c r="Z36" s="301" t="str">
        <f>IF(T36&lt;&gt;"",Z35,"")</f>
        <v/>
      </c>
      <c r="AA36" s="301"/>
      <c r="AB36" s="301"/>
      <c r="AE36" s="279"/>
      <c r="AL36" s="280"/>
      <c r="AM36" s="281"/>
      <c r="AN36" s="281"/>
    </row>
    <row r="37" spans="1:40" x14ac:dyDescent="0.2">
      <c r="C37" s="50" t="s">
        <v>59</v>
      </c>
      <c r="D37" s="50">
        <f>Aantal_26</f>
        <v>0</v>
      </c>
      <c r="E37" s="54" t="s">
        <v>52</v>
      </c>
      <c r="F37" s="50">
        <f>IF(aantal_ploegen&lt;4,0,Bedrag_per_ploeg_26)</f>
        <v>0</v>
      </c>
      <c r="G37" s="304">
        <f t="shared" si="1"/>
        <v>0</v>
      </c>
      <c r="H37" s="304"/>
      <c r="Q37" s="140"/>
      <c r="R37" s="139"/>
      <c r="S37" s="139"/>
      <c r="T37" s="140" t="str">
        <v/>
      </c>
      <c r="U37" s="139"/>
      <c r="V37" s="139"/>
      <c r="W37" s="139"/>
      <c r="X37" s="139"/>
      <c r="Y37" s="139"/>
      <c r="Z37" s="301" t="str">
        <f>IF(T37&lt;&gt;"",Z36,"")</f>
        <v/>
      </c>
      <c r="AA37" s="301"/>
      <c r="AB37" s="301"/>
      <c r="AE37" s="279"/>
    </row>
    <row r="38" spans="1:40" x14ac:dyDescent="0.2">
      <c r="C38" s="50" t="s">
        <v>60</v>
      </c>
      <c r="D38" s="50">
        <f>Aantal_25</f>
        <v>0</v>
      </c>
      <c r="E38" s="54" t="s">
        <v>52</v>
      </c>
      <c r="F38" s="50">
        <f>IF(aantal_ploegen&lt;4,0,Bedrag_per_ploeg_25)</f>
        <v>0</v>
      </c>
      <c r="G38" s="304">
        <f t="shared" si="1"/>
        <v>0</v>
      </c>
      <c r="H38" s="304"/>
      <c r="Q38" s="140"/>
      <c r="R38" s="139"/>
      <c r="S38" s="139"/>
      <c r="T38" s="140" t="str">
        <v/>
      </c>
      <c r="U38" s="139"/>
      <c r="V38" s="139"/>
      <c r="W38" s="139"/>
      <c r="X38" s="139"/>
      <c r="Y38" s="139"/>
      <c r="Z38" s="301" t="str">
        <f t="shared" ref="Z38:Z40" si="2">IF(T38&lt;&gt;"",Z37,"")</f>
        <v/>
      </c>
      <c r="AA38" s="301"/>
      <c r="AB38" s="301"/>
      <c r="AE38" s="279"/>
    </row>
    <row r="39" spans="1:40" ht="13.5" thickBot="1" x14ac:dyDescent="0.25">
      <c r="C39" s="50" t="s">
        <v>61</v>
      </c>
      <c r="D39" s="50">
        <f>Aantal_24</f>
        <v>0</v>
      </c>
      <c r="E39" s="54" t="s">
        <v>52</v>
      </c>
      <c r="F39" s="50">
        <f>IF(aantal_ploegen&lt;4,0,Bedrag_per_ploeg_24)</f>
        <v>0</v>
      </c>
      <c r="G39" s="305">
        <f t="shared" si="1"/>
        <v>0</v>
      </c>
      <c r="H39" s="305"/>
      <c r="Q39" s="140"/>
      <c r="R39" s="139"/>
      <c r="S39" s="139"/>
      <c r="T39" s="140" t="str">
        <v/>
      </c>
      <c r="U39" s="139"/>
      <c r="V39" s="139"/>
      <c r="W39" s="139"/>
      <c r="X39" s="139"/>
      <c r="Y39" s="139"/>
      <c r="Z39" s="301" t="str">
        <f t="shared" si="2"/>
        <v/>
      </c>
      <c r="AA39" s="301"/>
      <c r="AB39" s="301"/>
      <c r="AE39" s="279"/>
    </row>
    <row r="40" spans="1:40" x14ac:dyDescent="0.2">
      <c r="A40" s="302"/>
      <c r="B40" s="302"/>
      <c r="C40" s="302"/>
      <c r="G40" s="306">
        <f>SUM(G33:G39)</f>
        <v>0</v>
      </c>
      <c r="H40" s="306"/>
      <c r="Q40" s="140"/>
      <c r="R40" s="139"/>
      <c r="S40" s="139"/>
      <c r="T40" s="140" t="str">
        <v/>
      </c>
      <c r="U40" s="139"/>
      <c r="V40" s="139"/>
      <c r="W40" s="139"/>
      <c r="X40" s="139"/>
      <c r="Y40" s="139"/>
      <c r="Z40" s="301" t="str">
        <f t="shared" si="2"/>
        <v/>
      </c>
      <c r="AA40" s="301"/>
      <c r="AB40" s="301"/>
      <c r="AD40" s="303" t="s">
        <v>145</v>
      </c>
      <c r="AE40" s="303"/>
      <c r="AI40" s="58" t="s">
        <v>62</v>
      </c>
      <c r="AJ40" s="57">
        <v>46166</v>
      </c>
    </row>
    <row r="41" spans="1:40" hidden="1" x14ac:dyDescent="0.2">
      <c r="Z41" s="300" t="str">
        <f t="shared" ref="Z41:Z42" si="3">IF(T41&lt;&gt;"",Z40,"")</f>
        <v/>
      </c>
      <c r="AA41" s="300"/>
      <c r="AB41" s="300"/>
    </row>
    <row r="42" spans="1:40" hidden="1" x14ac:dyDescent="0.2">
      <c r="Z42" s="300" t="str">
        <f t="shared" si="3"/>
        <v/>
      </c>
      <c r="AA42" s="300"/>
      <c r="AB42" s="300"/>
    </row>
  </sheetData>
  <sheetProtection sheet="1" objects="1" scenarios="1"/>
  <sortState xmlns:xlrd2="http://schemas.microsoft.com/office/spreadsheetml/2017/richdata2" ref="C3:C21">
    <sortCondition ref="C3:C21"/>
  </sortState>
  <mergeCells count="47">
    <mergeCell ref="AD40:AE40"/>
    <mergeCell ref="G38:H38"/>
    <mergeCell ref="G39:H39"/>
    <mergeCell ref="G40:H40"/>
    <mergeCell ref="G30:H30"/>
    <mergeCell ref="G33:H33"/>
    <mergeCell ref="G34:H34"/>
    <mergeCell ref="G35:H35"/>
    <mergeCell ref="G36:H36"/>
    <mergeCell ref="G37:H37"/>
    <mergeCell ref="Z31:AB31"/>
    <mergeCell ref="Z32:AB32"/>
    <mergeCell ref="Z33:AB33"/>
    <mergeCell ref="Z34:AB34"/>
    <mergeCell ref="A40:C40"/>
    <mergeCell ref="Z42:AB42"/>
    <mergeCell ref="Z36:AB36"/>
    <mergeCell ref="Z37:AB37"/>
    <mergeCell ref="Z38:AB38"/>
    <mergeCell ref="Z35:AB35"/>
    <mergeCell ref="Z39:AB39"/>
    <mergeCell ref="Z40:AB40"/>
    <mergeCell ref="Z41:AB41"/>
    <mergeCell ref="A1:A2"/>
    <mergeCell ref="AK16:AM16"/>
    <mergeCell ref="AK17:AM17"/>
    <mergeCell ref="AK18:AM18"/>
    <mergeCell ref="C1:G1"/>
    <mergeCell ref="H1:I1"/>
    <mergeCell ref="AG1:AG2"/>
    <mergeCell ref="B1:B2"/>
    <mergeCell ref="AI2:AO2"/>
    <mergeCell ref="AI3:AO3"/>
    <mergeCell ref="AI4:AO4"/>
    <mergeCell ref="AL31:AL36"/>
    <mergeCell ref="AM31:AN36"/>
    <mergeCell ref="AJ9:AO9"/>
    <mergeCell ref="AJ10:AP10"/>
    <mergeCell ref="AJ13:AO13"/>
    <mergeCell ref="AI22:AO22"/>
    <mergeCell ref="AI25:AO25"/>
    <mergeCell ref="AK29:AK30"/>
    <mergeCell ref="AL29:AL30"/>
    <mergeCell ref="AI29:AI30"/>
    <mergeCell ref="AJ29:AJ30"/>
    <mergeCell ref="AK19:AM19"/>
    <mergeCell ref="AN16:AP19"/>
  </mergeCells>
  <phoneticPr fontId="0" type="noConversion"/>
  <conditionalFormatting sqref="D3:M27">
    <cfRule type="cellIs" dxfId="45" priority="17" stopIfTrue="1" operator="equal">
      <formula>30</formula>
    </cfRule>
  </conditionalFormatting>
  <conditionalFormatting sqref="Q3:Q27">
    <cfRule type="cellIs" dxfId="44" priority="8" stopIfTrue="1" operator="equal">
      <formula>18</formula>
    </cfRule>
  </conditionalFormatting>
  <conditionalFormatting sqref="R3:U27">
    <cfRule type="cellIs" dxfId="43" priority="7" stopIfTrue="1" operator="equal">
      <formula>12</formula>
    </cfRule>
  </conditionalFormatting>
  <conditionalFormatting sqref="V3:V27">
    <cfRule type="cellIs" dxfId="42" priority="4" stopIfTrue="1" operator="equal">
      <formula>18</formula>
    </cfRule>
  </conditionalFormatting>
  <conditionalFormatting sqref="W3:Y27">
    <cfRule type="cellIs" dxfId="41" priority="3" stopIfTrue="1" operator="equal">
      <formula>12</formula>
    </cfRule>
  </conditionalFormatting>
  <conditionalFormatting sqref="Z3:Z27">
    <cfRule type="cellIs" dxfId="40" priority="2" stopIfTrue="1" operator="equal">
      <formula>18</formula>
    </cfRule>
  </conditionalFormatting>
  <conditionalFormatting sqref="AA3:AC27">
    <cfRule type="cellIs" dxfId="39" priority="1" stopIfTrue="1" operator="equal">
      <formula>12</formula>
    </cfRule>
  </conditionalFormatting>
  <conditionalFormatting sqref="AD3:AD27">
    <cfRule type="cellIs" dxfId="38" priority="70" stopIfTrue="1" operator="equal">
      <formula>18</formula>
    </cfRule>
  </conditionalFormatting>
  <conditionalFormatting sqref="AE3:AE27">
    <cfRule type="cellIs" dxfId="37" priority="69" stopIfTrue="1" operator="equal">
      <formula>12</formula>
    </cfRule>
  </conditionalFormatting>
  <dataValidations count="3">
    <dataValidation type="list" allowBlank="1" showInputMessage="1" sqref="AK16:AM16" xr:uid="{558B9981-34A0-4E1B-8538-3FE800FA719A}">
      <formula1>listTypeWedstrijd</formula1>
    </dataValidation>
    <dataValidation type="list" allowBlank="1" showInputMessage="1" showErrorMessage="1" sqref="AK17:AM17 C3:C27" xr:uid="{C2A70837-947A-4634-86B5-88BBA6716BE9}">
      <formula1>listGilden</formula1>
    </dataValidation>
    <dataValidation type="list" allowBlank="1" showInputMessage="1" showErrorMessage="1" sqref="AI28" xr:uid="{4F212557-40BC-47D8-859C-E2CF4FBC714F}">
      <formula1>"Ja,Nee"</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oddFooter>&amp;R&amp;8v. 2.05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9B54F-7713-464F-A6FA-2569181E6176}">
  <dimension ref="A2:AL155"/>
  <sheetViews>
    <sheetView topLeftCell="C1" zoomScale="85" zoomScaleNormal="85" workbookViewId="0">
      <selection activeCell="AC4" sqref="AC4"/>
    </sheetView>
  </sheetViews>
  <sheetFormatPr defaultRowHeight="12.75" x14ac:dyDescent="0.2"/>
  <cols>
    <col min="1" max="1" width="9.140625" style="227" hidden="1" customWidth="1"/>
    <col min="2" max="2" width="3.7109375" style="227" hidden="1" customWidth="1"/>
    <col min="3" max="3" width="12.42578125" style="227" customWidth="1"/>
    <col min="4" max="4" width="6.85546875" style="227" bestFit="1" customWidth="1"/>
    <col min="5" max="5" width="13.85546875" style="227" bestFit="1" customWidth="1"/>
    <col min="6" max="6" width="19.5703125" style="227" bestFit="1" customWidth="1"/>
    <col min="7" max="7" width="3.7109375" style="227" customWidth="1"/>
    <col min="8" max="8" width="6.42578125" style="24" bestFit="1" customWidth="1"/>
    <col min="9" max="9" width="2" style="227" bestFit="1" customWidth="1"/>
    <col min="10" max="10" width="7.42578125" style="227" bestFit="1" customWidth="1"/>
    <col min="11" max="11" width="13.5703125" style="227" bestFit="1" customWidth="1"/>
    <col min="12" max="17" width="4.42578125" style="29" customWidth="1"/>
    <col min="18" max="18" width="13.42578125" style="29" bestFit="1" customWidth="1"/>
    <col min="19" max="19" width="16" style="29" bestFit="1" customWidth="1"/>
    <col min="20" max="20" width="3.28515625" style="227" customWidth="1"/>
    <col min="21" max="21" width="16.85546875" style="227" bestFit="1" customWidth="1"/>
    <col min="22" max="27" width="4.42578125" style="29" customWidth="1"/>
    <col min="28" max="28" width="3.5703125" style="227" customWidth="1"/>
    <col min="29" max="29" width="10.140625" style="227" bestFit="1" customWidth="1"/>
    <col min="30" max="30" width="6.85546875" style="227" bestFit="1" customWidth="1"/>
    <col min="31" max="31" width="13.85546875" style="227" bestFit="1" customWidth="1"/>
    <col min="32" max="32" width="17.28515625" style="227" bestFit="1" customWidth="1"/>
    <col min="33" max="16384" width="9.140625" style="227"/>
  </cols>
  <sheetData>
    <row r="2" spans="5:38" x14ac:dyDescent="0.2">
      <c r="Q2" s="236" t="s">
        <v>134</v>
      </c>
      <c r="R2" s="226" t="e">
        <f>LARGE(varSleutel,3)</f>
        <v>#NUM!</v>
      </c>
      <c r="AE2" s="245"/>
    </row>
    <row r="3" spans="5:38" ht="13.5" thickBot="1" x14ac:dyDescent="0.25"/>
    <row r="4" spans="5:38" ht="45.75" customHeight="1" thickBot="1" x14ac:dyDescent="0.25">
      <c r="E4" s="308" t="s">
        <v>92</v>
      </c>
      <c r="F4" s="309"/>
      <c r="H4" s="308" t="str">
        <f>"Zoeken naar de hoogste uitslagen waarmee de 3 dagprijzen kunnen uitbetaald worden.
In dit geval alle uitslagen hoger dan " &amp; W32 &amp; "."</f>
        <v>Zoeken naar de hoogste uitslagen waarmee de 3 dagprijzen kunnen uitbetaald worden.
In dit geval alle uitslagen hoger dan .</v>
      </c>
      <c r="I4" s="310"/>
      <c r="J4" s="310"/>
      <c r="K4" s="310"/>
      <c r="L4" s="310"/>
      <c r="M4" s="310"/>
      <c r="N4" s="310"/>
      <c r="O4" s="310"/>
      <c r="P4" s="310"/>
      <c r="Q4" s="310"/>
      <c r="R4" s="310"/>
      <c r="S4" s="309"/>
      <c r="U4" s="256" t="s">
        <v>135</v>
      </c>
      <c r="V4"/>
      <c r="W4"/>
      <c r="X4"/>
      <c r="Y4"/>
      <c r="Z4"/>
      <c r="AA4"/>
    </row>
    <row r="5" spans="5:38" ht="26.25" thickBot="1" x14ac:dyDescent="0.25">
      <c r="E5" s="228" cm="1">
        <f t="array" ref="E5">LARGE(IF(Minder_dan_6="",tbl_ploegen),3)</f>
        <v>0</v>
      </c>
      <c r="F5" s="237" t="s">
        <v>93</v>
      </c>
      <c r="G5" s="23"/>
      <c r="H5" s="24" t="s">
        <v>84</v>
      </c>
      <c r="I5" s="23"/>
      <c r="J5" s="23" t="s">
        <v>96</v>
      </c>
      <c r="K5" s="23" t="s">
        <v>84</v>
      </c>
      <c r="L5" s="24">
        <v>30</v>
      </c>
      <c r="M5" s="24">
        <v>25</v>
      </c>
      <c r="N5" s="24">
        <v>20</v>
      </c>
      <c r="O5" s="24">
        <v>16</v>
      </c>
      <c r="P5" s="24">
        <v>12</v>
      </c>
      <c r="Q5" s="24">
        <v>10</v>
      </c>
      <c r="R5" s="24" t="s">
        <v>133</v>
      </c>
      <c r="S5" s="24" t="s">
        <v>139</v>
      </c>
      <c r="U5" s="23" t="s">
        <v>84</v>
      </c>
      <c r="V5"/>
      <c r="W5"/>
      <c r="X5"/>
      <c r="Y5"/>
      <c r="Z5"/>
      <c r="AA5"/>
    </row>
    <row r="6" spans="5:38" ht="12.75" customHeight="1" thickBot="1" x14ac:dyDescent="0.25">
      <c r="E6" s="233">
        <f>SUM(E9:E14)</f>
        <v>150</v>
      </c>
      <c r="F6" s="239" t="s">
        <v>132</v>
      </c>
      <c r="H6" s="311" t="s">
        <v>3</v>
      </c>
      <c r="I6" s="241" cm="1">
        <f t="array" ref="I6:I30">IFERROR((Uitslagen_A &gt;= Prijs_vanaf)*(Ploegen &lt;&gt; Stand)*(Minder_dan_6 = "")*(aantal_ploegen&gt;2),0)</f>
        <v>0</v>
      </c>
      <c r="J6" s="241" t="str" cm="1">
        <f t="array" ref="J6">IFERROR(
        SMALL(
            IF($I$6:$I$30=1, ROW($I$6:$I$30)-ROW($I$6)+1),
            ROW(A1)
        ),"")</f>
        <v/>
      </c>
      <c r="K6" s="241" t="str" cm="1">
        <f t="array" ref="K6">IFERROR(
    INDEX(Ploegen,
        J6    ) &amp; " A",
"")</f>
        <v/>
      </c>
      <c r="L6" s="242" t="str" cm="1">
        <f t="array" ref="L6">IF(K6&lt;&gt;"",
INDEX(Ploegen!$D$3:$D$27,
    J6,
0),"")</f>
        <v/>
      </c>
      <c r="M6" s="242" t="str" cm="1">
        <f t="array" ref="M6">IF(K6&lt;&gt;"",
INDEX(Ploegen!$Q$3:$U$27,
    SMALL(
        IF($I$6:$I$30=1, ROW($I$6:$I$30)-ROW($I$6)+1),
        ROW(A1)
    ),
0),"")</f>
        <v/>
      </c>
      <c r="N6" s="242"/>
      <c r="O6" s="242"/>
      <c r="P6" s="242"/>
      <c r="Q6" s="229"/>
      <c r="R6" t="str">
        <f>IF(K6="","",IFERROR(L6*10^10 + M6*10^8 + N6*10^6 + O6*10^4 + P6*10^2 + Q6,0))</f>
        <v/>
      </c>
      <c r="S6" t="str">
        <f>IF(K6="","",IFERROR(R6 + ROW()/100,0))</f>
        <v/>
      </c>
      <c r="U6" s="257" t="str" cm="1">
        <f t="array" ref="U6">IFERROR(
  INDEX($K$6:$K$155,
    MATCH(
      _xlfn.AGGREGATE(14,6,$S$6:$S$155/($R$6:$R$155&gt;=varDrempelwaarde),ROW(A1)),
      $S$6:$S$155,
      0
    ),
  1),
"")</f>
        <v/>
      </c>
      <c r="V6"/>
      <c r="W6"/>
      <c r="X6"/>
      <c r="Y6"/>
      <c r="Z6"/>
      <c r="AA6"/>
      <c r="AC6" s="227" t="e">
        <f>Q6+50+P6+100+O6+150+N6+200+M6+250+L6</f>
        <v>#VALUE!</v>
      </c>
      <c r="AF6" s="260" t="str">
        <f>R6</f>
        <v/>
      </c>
      <c r="AL6" s="227">
        <f>COUNT(Ploegen!D3:I27)</f>
        <v>0</v>
      </c>
    </row>
    <row r="7" spans="5:38" ht="13.5" thickBot="1" x14ac:dyDescent="0.25">
      <c r="H7" s="312"/>
      <c r="I7" s="243">
        <v>0</v>
      </c>
      <c r="J7" s="243" t="str" cm="1">
        <f t="array" ref="J7">IFERROR(
        SMALL(
            IF($I$6:$I$30=1, ROW($I$6:$I$30)-ROW($I$6)+1),
            ROW(A2)
        ),"")</f>
        <v/>
      </c>
      <c r="K7" s="243" t="str" cm="1">
        <f t="array" ref="K7">IFERROR(
    INDEX(Ploegen,
        J7    ) &amp; " A",
"")</f>
        <v/>
      </c>
      <c r="L7" s="231" t="str" cm="1">
        <f t="array" ref="L7">IF(K7&lt;&gt;"",
INDEX(Ploegen!$D$3:$D$27,
    J7,
0),"")</f>
        <v/>
      </c>
      <c r="M7" s="231" t="str" cm="1">
        <f t="array" ref="M7">IF(K7&lt;&gt;"",
INDEX(Ploegen!$Q$3:$U$27,
    SMALL(
        IF($I$6:$I$30=1, ROW($I$6:$I$30)-ROW($I$6)+1),
        ROW(A2)
    ),
0),"")</f>
        <v/>
      </c>
      <c r="N7" s="231"/>
      <c r="O7" s="231"/>
      <c r="P7" s="231"/>
      <c r="Q7" s="232"/>
      <c r="R7" t="str">
        <f t="shared" ref="R7:R70" si="0">IF(K7="","",IFERROR(L7*10^10 + M7*10^8 + N7*10^6 + O7*10^4 + P7*10^2 + Q7,0))</f>
        <v/>
      </c>
      <c r="S7" t="str">
        <f t="shared" ref="S7:S70" si="1">IF(K7="","",IFERROR(R7 + ROW()/100,0))</f>
        <v/>
      </c>
      <c r="U7" s="258" t="str" cm="1">
        <f t="array" ref="U7">IFERROR(
  INDEX($K$6:$K$155,
    MATCH(
      _xlfn.AGGREGATE(14,6,$S$6:$S$155/($R$6:$R$155&gt;=varDrempelwaarde),ROW(A2)),
      $S$6:$S$155,
      0
    ),
  1),
"")</f>
        <v/>
      </c>
      <c r="V7"/>
      <c r="W7"/>
      <c r="X7"/>
      <c r="Y7"/>
      <c r="Z7"/>
      <c r="AA7"/>
      <c r="AC7" s="227" t="e">
        <f t="shared" ref="AC7:AC39" si="2">Q7+50+P7+100+O7+150+N7+200+M7+250+L7</f>
        <v>#VALUE!</v>
      </c>
    </row>
    <row r="8" spans="5:38" ht="13.5" thickBot="1" x14ac:dyDescent="0.25">
      <c r="E8" s="308" t="str">
        <f>"X ploeg(en) hebben in de reeks een score gelijk aan of hoger dan " &amp; Prijs_vanaf &amp; "."</f>
        <v>X ploeg(en) hebben in de reeks een score gelijk aan of hoger dan 0.</v>
      </c>
      <c r="F8" s="309"/>
      <c r="H8" s="312"/>
      <c r="I8" s="243">
        <v>0</v>
      </c>
      <c r="J8" s="243" t="str" cm="1">
        <f t="array" ref="J8">IFERROR(
        SMALL(
            IF($I$6:$I$30=1, ROW($I$6:$I$30)-ROW($I$6)+1),
            ROW(A3)
        ),"")</f>
        <v/>
      </c>
      <c r="K8" s="243" t="str" cm="1">
        <f t="array" ref="K8">IFERROR(
    INDEX(Ploegen,
        J8    ) &amp; " A",
"")</f>
        <v/>
      </c>
      <c r="L8" s="231" t="str" cm="1">
        <f t="array" ref="L8">IF(K8&lt;&gt;"",
INDEX(Ploegen!$D$3:$D$27,
    J8,
0),"")</f>
        <v/>
      </c>
      <c r="M8" s="231" t="str" cm="1">
        <f t="array" ref="M8">IF(K8&lt;&gt;"",
INDEX(Ploegen!$Q$3:$U$27,
    SMALL(
        IF($I$6:$I$30=1, ROW($I$6:$I$30)-ROW($I$6)+1),
        ROW(A3)
    ),
0),"")</f>
        <v/>
      </c>
      <c r="N8" s="231"/>
      <c r="O8" s="231"/>
      <c r="P8" s="231"/>
      <c r="Q8" s="232"/>
      <c r="R8" t="str">
        <f t="shared" si="0"/>
        <v/>
      </c>
      <c r="S8" t="str">
        <f t="shared" si="1"/>
        <v/>
      </c>
      <c r="U8" s="258" t="str" cm="1">
        <f t="array" ref="U8">IFERROR(
  INDEX($K$6:$K$155,
    MATCH(
      _xlfn.AGGREGATE(14,6,$S$6:$S$155/($R$6:$R$155&gt;=varDrempelwaarde),ROW(A3)),
      $S$6:$S$155,
      0
    ),
  1),
"")</f>
        <v/>
      </c>
      <c r="V8"/>
      <c r="W8"/>
      <c r="X8"/>
      <c r="Y8"/>
      <c r="Z8"/>
      <c r="AA8"/>
      <c r="AC8" s="227" t="e">
        <f t="shared" si="2"/>
        <v>#VALUE!</v>
      </c>
    </row>
    <row r="9" spans="5:38" x14ac:dyDescent="0.2">
      <c r="E9" s="228" cm="1">
        <f t="array" ref="E9">SUMPRODUCT((Uitslagen_A&gt;=Prijs_vanaf)*(Minder_dan_6=""))</f>
        <v>25</v>
      </c>
      <c r="F9" s="238" t="s">
        <v>86</v>
      </c>
      <c r="H9" s="312"/>
      <c r="I9" s="243">
        <v>0</v>
      </c>
      <c r="J9" s="243" t="str" cm="1">
        <f t="array" ref="J9">IFERROR(
        SMALL(
            IF($I$6:$I$30=1, ROW($I$6:$I$30)-ROW($I$6)+1),
            ROW(A4)
        ),"")</f>
        <v/>
      </c>
      <c r="K9" s="243" t="str" cm="1">
        <f t="array" ref="K9">IFERROR(
    INDEX(Ploegen,
        J9    ) &amp; " A",
"")</f>
        <v/>
      </c>
      <c r="L9" s="231" t="str" cm="1">
        <f t="array" ref="L9">IF(K9&lt;&gt;"",
INDEX(Ploegen!$D$3:$D$27,
    J9,
0),"")</f>
        <v/>
      </c>
      <c r="M9" s="231" t="str" cm="1">
        <f t="array" ref="M9">IF(K9&lt;&gt;"",
INDEX(Ploegen!$Q$3:$U$27,
    SMALL(
        IF($I$6:$I$30=1, ROW($I$6:$I$30)-ROW($I$6)+1),
        ROW(A4)
    ),
0),"")</f>
        <v/>
      </c>
      <c r="N9" s="231"/>
      <c r="O9" s="231"/>
      <c r="P9" s="231"/>
      <c r="Q9" s="232"/>
      <c r="R9" t="str">
        <f t="shared" si="0"/>
        <v/>
      </c>
      <c r="S9" t="str">
        <f t="shared" si="1"/>
        <v/>
      </c>
      <c r="U9" s="258" t="str" cm="1">
        <f t="array" ref="U9">IFERROR(
  INDEX($K$6:$K$155,
    MATCH(
      _xlfn.AGGREGATE(14,6,$S$6:$S$155/($R$6:$R$155&gt;=varDrempelwaarde),ROW(A4)),
      $S$6:$S$155,
      0
    ),
  1),
"")</f>
        <v/>
      </c>
      <c r="V9"/>
      <c r="W9"/>
      <c r="X9"/>
      <c r="Y9"/>
      <c r="Z9"/>
      <c r="AA9"/>
      <c r="AC9" s="227" t="e">
        <f t="shared" si="2"/>
        <v>#VALUE!</v>
      </c>
    </row>
    <row r="10" spans="5:38" x14ac:dyDescent="0.2">
      <c r="E10" s="230" cm="1">
        <f t="array" ref="E10">SUMPRODUCT((Uitslagen_B&gt;=Prijs_vanaf)*(Minder_dan_6=""))</f>
        <v>25</v>
      </c>
      <c r="F10" s="240" t="s">
        <v>87</v>
      </c>
      <c r="H10" s="312"/>
      <c r="I10" s="243">
        <v>0</v>
      </c>
      <c r="J10" s="243" t="str" cm="1">
        <f t="array" ref="J10">IFERROR(
        SMALL(
            IF($I$6:$I$30=1, ROW($I$6:$I$30)-ROW($I$6)+1),
            ROW(A5)
        ),"")</f>
        <v/>
      </c>
      <c r="K10" s="243" t="str" cm="1">
        <f t="array" ref="K10">IFERROR(
    INDEX(Ploegen,
        J10    ) &amp; " A",
"")</f>
        <v/>
      </c>
      <c r="L10" s="231" t="str" cm="1">
        <f t="array" ref="L10">IF(K10&lt;&gt;"",
INDEX(Ploegen!$D$3:$D$27,
    J10,
0),"")</f>
        <v/>
      </c>
      <c r="M10" s="231" t="str" cm="1">
        <f t="array" ref="M10">IF(K10&lt;&gt;"",
INDEX(Ploegen!$Q$3:$U$27,
    SMALL(
        IF($I$6:$I$30=1, ROW($I$6:$I$30)-ROW($I$6)+1),
        ROW(A5)
    ),
0),"")</f>
        <v/>
      </c>
      <c r="N10" s="231"/>
      <c r="O10" s="231"/>
      <c r="P10" s="231"/>
      <c r="Q10" s="232"/>
      <c r="R10" t="str">
        <f t="shared" si="0"/>
        <v/>
      </c>
      <c r="S10" t="str">
        <f t="shared" si="1"/>
        <v/>
      </c>
      <c r="U10" s="258" t="str" cm="1">
        <f t="array" ref="U10">IFERROR(
  INDEX($K$6:$K$155,
    MATCH(
      _xlfn.AGGREGATE(14,6,$S$6:$S$155/($R$6:$R$155&gt;=varDrempelwaarde),ROW(A5)),
      $S$6:$S$155,
      0
    ),
  1),
"")</f>
        <v/>
      </c>
      <c r="V10"/>
      <c r="W10"/>
      <c r="X10"/>
      <c r="Y10"/>
      <c r="Z10"/>
      <c r="AA10"/>
      <c r="AC10" s="227" t="e">
        <f t="shared" si="2"/>
        <v>#VALUE!</v>
      </c>
    </row>
    <row r="11" spans="5:38" x14ac:dyDescent="0.2">
      <c r="E11" s="230" cm="1">
        <f t="array" ref="E11">SUMPRODUCT((Uitslagen_C&gt;=Prijs_vanaf)*(Minder_dan_6=""))</f>
        <v>25</v>
      </c>
      <c r="F11" s="240" t="s">
        <v>88</v>
      </c>
      <c r="H11" s="312"/>
      <c r="I11" s="243">
        <v>0</v>
      </c>
      <c r="J11" s="243" t="str" cm="1">
        <f t="array" ref="J11">IFERROR(
        SMALL(
            IF($I$6:$I$30=1, ROW($I$6:$I$30)-ROW($I$6)+1),
            ROW(A6)
        ),"")</f>
        <v/>
      </c>
      <c r="K11" s="243" t="str" cm="1">
        <f t="array" ref="K11">IFERROR(
    INDEX(Ploegen,
        J11    ) &amp; " A",
"")</f>
        <v/>
      </c>
      <c r="L11" s="231" t="str" cm="1">
        <f t="array" ref="L11">IF(K11&lt;&gt;"",
INDEX(Ploegen!$D$3:$D$27,
    J11,
0),"")</f>
        <v/>
      </c>
      <c r="M11" s="231" t="str" cm="1">
        <f t="array" ref="M11">IF(K11&lt;&gt;"",
INDEX(Ploegen!$Q$3:$U$27,
    SMALL(
        IF($I$6:$I$30=1, ROW($I$6:$I$30)-ROW($I$6)+1),
        ROW(A6)
    ),
0),"")</f>
        <v/>
      </c>
      <c r="N11" s="231"/>
      <c r="O11" s="231"/>
      <c r="P11" s="231"/>
      <c r="Q11" s="232"/>
      <c r="R11" t="str">
        <f t="shared" si="0"/>
        <v/>
      </c>
      <c r="S11" t="str">
        <f t="shared" si="1"/>
        <v/>
      </c>
      <c r="U11" s="258" t="str" cm="1">
        <f t="array" ref="U11">IFERROR(
  INDEX($K$6:$K$155,
    MATCH(
      _xlfn.AGGREGATE(14,6,$S$6:$S$155/($R$6:$R$155&gt;=varDrempelwaarde),ROW(A6)),
      $S$6:$S$155,
      0
    ),
  1),
"")</f>
        <v/>
      </c>
      <c r="V11"/>
      <c r="W11"/>
      <c r="X11"/>
      <c r="Y11"/>
      <c r="Z11"/>
      <c r="AA11"/>
      <c r="AC11" s="227" t="e">
        <f t="shared" si="2"/>
        <v>#VALUE!</v>
      </c>
    </row>
    <row r="12" spans="5:38" x14ac:dyDescent="0.2">
      <c r="E12" s="230" cm="1">
        <f t="array" ref="E12">SUMPRODUCT((Uitslagen_D&gt;=Prijs_vanaf)*(Minder_dan_6=""))</f>
        <v>25</v>
      </c>
      <c r="F12" s="240" t="s">
        <v>89</v>
      </c>
      <c r="H12" s="312"/>
      <c r="I12" s="243">
        <v>0</v>
      </c>
      <c r="J12" s="243" t="str" cm="1">
        <f t="array" ref="J12">IFERROR(
        SMALL(
            IF($I$6:$I$30=1, ROW($I$6:$I$30)-ROW($I$6)+1),
            ROW(A7)
        ),"")</f>
        <v/>
      </c>
      <c r="K12" s="243" t="str" cm="1">
        <f t="array" ref="K12">IFERROR(
    INDEX(Ploegen,
        J12    ) &amp; " A",
"")</f>
        <v/>
      </c>
      <c r="L12" s="231" t="str" cm="1">
        <f t="array" ref="L12">IF(K12&lt;&gt;"",
INDEX(Ploegen!$D$3:$D$27,
    J12,
0),"")</f>
        <v/>
      </c>
      <c r="M12" s="231" t="str" cm="1">
        <f t="array" ref="M12">IF(K12&lt;&gt;"",
INDEX(Ploegen!$Q$3:$U$27,
    SMALL(
        IF($I$6:$I$30=1, ROW($I$6:$I$30)-ROW($I$6)+1),
        ROW(A7)
    ),
0),"")</f>
        <v/>
      </c>
      <c r="N12" s="231"/>
      <c r="O12" s="231"/>
      <c r="P12" s="231"/>
      <c r="Q12" s="232"/>
      <c r="R12" t="str">
        <f t="shared" si="0"/>
        <v/>
      </c>
      <c r="S12" t="str">
        <f t="shared" si="1"/>
        <v/>
      </c>
      <c r="U12" s="258" t="str" cm="1">
        <f t="array" ref="U12">IFERROR(
  INDEX($K$6:$K$155,
    MATCH(
      _xlfn.AGGREGATE(14,6,$S$6:$S$155/($R$6:$R$155&gt;=varDrempelwaarde),ROW(A7)),
      $S$6:$S$155,
      0
    ),
  1),
"")</f>
        <v/>
      </c>
      <c r="V12"/>
      <c r="W12"/>
      <c r="X12"/>
      <c r="Y12"/>
      <c r="Z12"/>
      <c r="AA12"/>
      <c r="AC12" s="227" t="e">
        <f t="shared" si="2"/>
        <v>#VALUE!</v>
      </c>
    </row>
    <row r="13" spans="5:38" x14ac:dyDescent="0.2">
      <c r="E13" s="230" cm="1">
        <f t="array" ref="E13">SUMPRODUCT((Uitslagen_E&gt;=Prijs_vanaf)*(Minder_dan_6=""))</f>
        <v>25</v>
      </c>
      <c r="F13" s="240" t="s">
        <v>90</v>
      </c>
      <c r="H13" s="312"/>
      <c r="I13" s="243">
        <v>0</v>
      </c>
      <c r="J13" s="243" t="str" cm="1">
        <f t="array" ref="J13">IFERROR(
        SMALL(
            IF($I$6:$I$30=1, ROW($I$6:$I$30)-ROW($I$6)+1),
            ROW(A8)
        ),"")</f>
        <v/>
      </c>
      <c r="K13" s="243" t="str" cm="1">
        <f t="array" ref="K13">IFERROR(
    INDEX(Ploegen,
        J13    ) &amp; " A",
"")</f>
        <v/>
      </c>
      <c r="L13" s="231" t="str" cm="1">
        <f t="array" ref="L13">IF(K13&lt;&gt;"",
INDEX(Ploegen!$D$3:$D$27,
    J13,
0),"")</f>
        <v/>
      </c>
      <c r="M13" s="231" t="str" cm="1">
        <f t="array" ref="M13">IF(K13&lt;&gt;"",
INDEX(Ploegen!$Q$3:$U$27,
    SMALL(
        IF($I$6:$I$30=1, ROW($I$6:$I$30)-ROW($I$6)+1),
        ROW(A8)
    ),
0),"")</f>
        <v/>
      </c>
      <c r="N13" s="231"/>
      <c r="O13" s="231"/>
      <c r="P13" s="231"/>
      <c r="Q13" s="232"/>
      <c r="R13" t="str">
        <f t="shared" si="0"/>
        <v/>
      </c>
      <c r="S13" t="str">
        <f t="shared" si="1"/>
        <v/>
      </c>
      <c r="U13" s="258" t="str" cm="1">
        <f t="array" ref="U13">IFERROR(
  INDEX($K$6:$K$155,
    MATCH(
      _xlfn.AGGREGATE(14,6,$S$6:$S$155/($R$6:$R$155&gt;=varDrempelwaarde),ROW(A8)),
      $S$6:$S$155,
      0
    ),
  1),
"")</f>
        <v/>
      </c>
      <c r="V13"/>
      <c r="W13"/>
      <c r="X13"/>
      <c r="Y13"/>
      <c r="Z13"/>
      <c r="AA13"/>
      <c r="AC13" s="227" t="e">
        <f t="shared" si="2"/>
        <v>#VALUE!</v>
      </c>
    </row>
    <row r="14" spans="5:38" ht="13.5" thickBot="1" x14ac:dyDescent="0.25">
      <c r="E14" s="233" cm="1">
        <f t="array" ref="E14">SUMPRODUCT((Uitslagen_F&gt;=Prijs_vanaf)*(Minder_dan_6=""))</f>
        <v>25</v>
      </c>
      <c r="F14" s="239" t="s">
        <v>91</v>
      </c>
      <c r="H14" s="312"/>
      <c r="I14" s="243">
        <v>0</v>
      </c>
      <c r="J14" s="243" t="str" cm="1">
        <f t="array" ref="J14">IFERROR(
        SMALL(
            IF($I$6:$I$30=1, ROW($I$6:$I$30)-ROW($I$6)+1),
            ROW(A9)
        ),"")</f>
        <v/>
      </c>
      <c r="K14" s="243" t="str" cm="1">
        <f t="array" ref="K14">IFERROR(
    INDEX(Ploegen,
        J14    ) &amp; " A",
"")</f>
        <v/>
      </c>
      <c r="L14" s="231" t="str" cm="1">
        <f t="array" ref="L14">IF(K14&lt;&gt;"",
INDEX(Ploegen!$D$3:$D$27,
    J14,
0),"")</f>
        <v/>
      </c>
      <c r="M14" s="231" t="str" cm="1">
        <f t="array" ref="M14">IF(K14&lt;&gt;"",
INDEX(Ploegen!$Q$3:$U$27,
    SMALL(
        IF($I$6:$I$30=1, ROW($I$6:$I$30)-ROW($I$6)+1),
        ROW(A9)
    ),
0),"")</f>
        <v/>
      </c>
      <c r="N14" s="231"/>
      <c r="O14" s="231"/>
      <c r="P14" s="231"/>
      <c r="Q14" s="232"/>
      <c r="R14" t="str">
        <f t="shared" si="0"/>
        <v/>
      </c>
      <c r="S14" t="str">
        <f t="shared" si="1"/>
        <v/>
      </c>
      <c r="U14" s="258" t="str" cm="1">
        <f t="array" ref="U14">IFERROR(
  INDEX($K$6:$K$155,
    MATCH(
      _xlfn.AGGREGATE(14,6,$S$6:$S$155/($R$6:$R$155&gt;=varDrempelwaarde),ROW(A9)),
      $S$6:$S$155,
      0
    ),
  1),
"")</f>
        <v/>
      </c>
      <c r="V14"/>
      <c r="W14"/>
      <c r="X14"/>
      <c r="Y14"/>
      <c r="Z14"/>
      <c r="AA14"/>
      <c r="AC14" s="227" t="e">
        <f t="shared" si="2"/>
        <v>#VALUE!</v>
      </c>
    </row>
    <row r="15" spans="5:38" ht="13.5" thickBot="1" x14ac:dyDescent="0.25">
      <c r="H15" s="312"/>
      <c r="I15" s="243">
        <v>0</v>
      </c>
      <c r="J15" s="243" t="str" cm="1">
        <f t="array" ref="J15">IFERROR(
        SMALL(
            IF($I$6:$I$30=1, ROW($I$6:$I$30)-ROW($I$6)+1),
            ROW(A10)
        ),"")</f>
        <v/>
      </c>
      <c r="K15" s="243" t="str" cm="1">
        <f t="array" ref="K15">IFERROR(
    INDEX(Ploegen,
        J15    ) &amp; " A",
"")</f>
        <v/>
      </c>
      <c r="L15" s="231" t="str" cm="1">
        <f t="array" ref="L15">IF(K15&lt;&gt;"",
INDEX(Ploegen!$D$3:$D$27,
    J15,
0),"")</f>
        <v/>
      </c>
      <c r="M15" s="231" t="str" cm="1">
        <f t="array" ref="M15">IF(K15&lt;&gt;"",
INDEX(Ploegen!$Q$3:$U$27,
    SMALL(
        IF($I$6:$I$30=1, ROW($I$6:$I$30)-ROW($I$6)+1),
        ROW(A10)
    ),
0),"")</f>
        <v/>
      </c>
      <c r="N15" s="231"/>
      <c r="O15" s="231"/>
      <c r="P15" s="231"/>
      <c r="Q15" s="232"/>
      <c r="R15" t="str">
        <f t="shared" si="0"/>
        <v/>
      </c>
      <c r="S15" t="str">
        <f t="shared" si="1"/>
        <v/>
      </c>
      <c r="U15" s="258" t="str" cm="1">
        <f t="array" ref="U15">IFERROR(
  INDEX($K$6:$K$155,
    MATCH(
      _xlfn.AGGREGATE(14,6,$S$6:$S$155/($R$6:$R$155&gt;=varDrempelwaarde),ROW(A10)),
      $S$6:$S$155,
      0
    ),
  1),
"")</f>
        <v/>
      </c>
      <c r="V15"/>
      <c r="W15"/>
      <c r="X15"/>
      <c r="Y15"/>
      <c r="Z15"/>
      <c r="AA15"/>
      <c r="AC15" s="227" t="e">
        <f t="shared" si="2"/>
        <v>#VALUE!</v>
      </c>
    </row>
    <row r="16" spans="5:38" x14ac:dyDescent="0.2">
      <c r="E16" s="316" t="s">
        <v>94</v>
      </c>
      <c r="F16" s="314" t="s">
        <v>138</v>
      </c>
      <c r="H16" s="312"/>
      <c r="I16" s="243">
        <v>0</v>
      </c>
      <c r="J16" s="243" t="str" cm="1">
        <f t="array" ref="J16">IFERROR(
        SMALL(
            IF($I$6:$I$30=1, ROW($I$6:$I$30)-ROW($I$6)+1),
            ROW(A11)
        ),"")</f>
        <v/>
      </c>
      <c r="K16" s="243" t="str" cm="1">
        <f t="array" ref="K16">IFERROR(
    INDEX(Ploegen,
        J16    ) &amp; " A",
"")</f>
        <v/>
      </c>
      <c r="L16" s="231" t="str" cm="1">
        <f t="array" ref="L16">IF(K16&lt;&gt;"",
INDEX(Ploegen!$D$3:$D$27,
    J16,
0),"")</f>
        <v/>
      </c>
      <c r="M16" s="231" t="str" cm="1">
        <f t="array" ref="M16">IF(K16&lt;&gt;"",
INDEX(Ploegen!$Q$3:$U$27,
    SMALL(
        IF($I$6:$I$30=1, ROW($I$6:$I$30)-ROW($I$6)+1),
        ROW(A11)
    ),
0),"")</f>
        <v/>
      </c>
      <c r="N16" s="231"/>
      <c r="O16" s="231"/>
      <c r="P16" s="231"/>
      <c r="Q16" s="232"/>
      <c r="R16" t="str">
        <f t="shared" si="0"/>
        <v/>
      </c>
      <c r="S16" t="str">
        <f t="shared" si="1"/>
        <v/>
      </c>
      <c r="U16" s="258" t="str" cm="1">
        <f t="array" ref="U16">IFERROR(
  INDEX($K$6:$K$155,
    MATCH(
      _xlfn.AGGREGATE(14,6,$S$6:$S$155/($R$6:$R$155&gt;=varDrempelwaarde),ROW(A11)),
      $S$6:$S$155,
      0
    ),
  1),
"")</f>
        <v/>
      </c>
      <c r="V16"/>
      <c r="W16"/>
      <c r="X16"/>
      <c r="Y16"/>
      <c r="Z16"/>
      <c r="AA16"/>
      <c r="AC16" s="227" t="e">
        <f t="shared" si="2"/>
        <v>#VALUE!</v>
      </c>
    </row>
    <row r="17" spans="3:29" ht="13.5" thickBot="1" x14ac:dyDescent="0.25">
      <c r="E17" s="317"/>
      <c r="F17" s="315"/>
      <c r="H17" s="312"/>
      <c r="I17" s="243">
        <v>0</v>
      </c>
      <c r="J17" s="243" t="str" cm="1">
        <f t="array" ref="J17">IFERROR(
        SMALL(
            IF($I$6:$I$30=1, ROW($I$6:$I$30)-ROW($I$6)+1),
            ROW(A12)
        ),"")</f>
        <v/>
      </c>
      <c r="K17" s="243" t="str" cm="1">
        <f t="array" ref="K17">IFERROR(
    INDEX(Ploegen,
        J17    ) &amp; " A",
"")</f>
        <v/>
      </c>
      <c r="L17" s="231" t="str" cm="1">
        <f t="array" ref="L17">IF(K17&lt;&gt;"",
INDEX(Ploegen!$D$3:$D$27,
    J17,
0),"")</f>
        <v/>
      </c>
      <c r="M17" s="231" t="str" cm="1">
        <f t="array" ref="M17">IF(K17&lt;&gt;"",
INDEX(Ploegen!$Q$3:$U$27,
    SMALL(
        IF($I$6:$I$30=1, ROW($I$6:$I$30)-ROW($I$6)+1),
        ROW(A12)
    ),
0),"")</f>
        <v/>
      </c>
      <c r="N17" s="231"/>
      <c r="O17" s="231"/>
      <c r="P17" s="231"/>
      <c r="Q17" s="232"/>
      <c r="R17" t="str">
        <f t="shared" si="0"/>
        <v/>
      </c>
      <c r="S17" t="str">
        <f t="shared" si="1"/>
        <v/>
      </c>
      <c r="U17" s="258" t="str" cm="1">
        <f t="array" ref="U17">IFERROR(
  INDEX($K$6:$K$155,
    MATCH(
      _xlfn.AGGREGATE(14,6,$S$6:$S$155/($R$6:$R$155&gt;=varDrempelwaarde),ROW(A12)),
      $S$6:$S$155,
      0
    ),
  1),
"")</f>
        <v/>
      </c>
      <c r="V17"/>
      <c r="W17"/>
      <c r="X17"/>
      <c r="Y17"/>
      <c r="Z17"/>
      <c r="AA17"/>
      <c r="AC17" s="227" t="e">
        <f t="shared" si="2"/>
        <v>#VALUE!</v>
      </c>
    </row>
    <row r="18" spans="3:29" x14ac:dyDescent="0.2">
      <c r="E18" s="249">
        <v>1</v>
      </c>
      <c r="F18" s="246">
        <v>12.5</v>
      </c>
      <c r="H18" s="312"/>
      <c r="I18" s="243">
        <v>0</v>
      </c>
      <c r="J18" s="243" t="str" cm="1">
        <f t="array" ref="J18">IFERROR(
        SMALL(
            IF($I$6:$I$30=1, ROW($I$6:$I$30)-ROW($I$6)+1),
            ROW(A13)
        ),"")</f>
        <v/>
      </c>
      <c r="K18" s="243" t="str" cm="1">
        <f t="array" ref="K18">IFERROR(
    INDEX(Ploegen,
        J18    ) &amp; " A",
"")</f>
        <v/>
      </c>
      <c r="L18" s="231" t="str" cm="1">
        <f t="array" ref="L18">IF(K18&lt;&gt;"",
INDEX(Ploegen!$D$3:$D$27,
    J18,
0),"")</f>
        <v/>
      </c>
      <c r="M18" s="231" t="str" cm="1">
        <f t="array" ref="M18">IF(K18&lt;&gt;"",
INDEX(Ploegen!$Q$3:$U$27,
    SMALL(
        IF($I$6:$I$30=1, ROW($I$6:$I$30)-ROW($I$6)+1),
        ROW(A13)
    ),
0),"")</f>
        <v/>
      </c>
      <c r="N18" s="231"/>
      <c r="O18" s="231"/>
      <c r="P18" s="231"/>
      <c r="Q18" s="232"/>
      <c r="R18" t="str">
        <f t="shared" si="0"/>
        <v/>
      </c>
      <c r="S18" t="str">
        <f t="shared" si="1"/>
        <v/>
      </c>
      <c r="U18" s="258" t="str" cm="1">
        <f t="array" ref="U18">IFERROR(
  INDEX($K$6:$K$155,
    MATCH(
      _xlfn.AGGREGATE(14,6,$S$6:$S$155/($R$6:$R$155&gt;=varDrempelwaarde),ROW(A13)),
      $S$6:$S$155,
      0
    ),
  1),
"")</f>
        <v/>
      </c>
      <c r="V18"/>
      <c r="W18"/>
      <c r="X18"/>
      <c r="Y18"/>
      <c r="Z18"/>
      <c r="AA18"/>
      <c r="AC18" s="227" t="e">
        <f t="shared" si="2"/>
        <v>#VALUE!</v>
      </c>
    </row>
    <row r="19" spans="3:29" x14ac:dyDescent="0.2">
      <c r="E19" s="250">
        <v>2</v>
      </c>
      <c r="F19" s="247">
        <v>10</v>
      </c>
      <c r="H19" s="312"/>
      <c r="I19" s="243">
        <v>0</v>
      </c>
      <c r="J19" s="243" t="str" cm="1">
        <f t="array" ref="J19">IFERROR(
        SMALL(
            IF($I$6:$I$30=1, ROW($I$6:$I$30)-ROW($I$6)+1),
            ROW(A14)
        ),"")</f>
        <v/>
      </c>
      <c r="K19" s="243" t="str" cm="1">
        <f t="array" ref="K19">IFERROR(
    INDEX(Ploegen,
        J19    ) &amp; " A",
"")</f>
        <v/>
      </c>
      <c r="L19" s="231" t="str" cm="1">
        <f t="array" ref="L19">IF(K19&lt;&gt;"",
INDEX(Ploegen!$D$3:$D$27,
    J19,
0),"")</f>
        <v/>
      </c>
      <c r="M19" s="231" t="str" cm="1">
        <f t="array" ref="M19">IF(K19&lt;&gt;"",
INDEX(Ploegen!$Q$3:$U$27,
    SMALL(
        IF($I$6:$I$30=1, ROW($I$6:$I$30)-ROW($I$6)+1),
        ROW(A14)
    ),
0),"")</f>
        <v/>
      </c>
      <c r="N19" s="231"/>
      <c r="O19" s="231"/>
      <c r="P19" s="231"/>
      <c r="Q19" s="232"/>
      <c r="R19" t="str">
        <f t="shared" si="0"/>
        <v/>
      </c>
      <c r="S19" t="str">
        <f t="shared" si="1"/>
        <v/>
      </c>
      <c r="U19" s="258" t="str" cm="1">
        <f t="array" ref="U19">IFERROR(
  INDEX($K$6:$K$155,
    MATCH(
      _xlfn.AGGREGATE(14,6,$S$6:$S$155/($R$6:$R$155&gt;=varDrempelwaarde),ROW(A14)),
      $S$6:$S$155,
      0
    ),
  1),
"")</f>
        <v/>
      </c>
      <c r="V19"/>
      <c r="W19"/>
      <c r="X19"/>
      <c r="Y19"/>
      <c r="Z19"/>
      <c r="AA19"/>
      <c r="AC19" s="227" t="e">
        <f t="shared" si="2"/>
        <v>#VALUE!</v>
      </c>
    </row>
    <row r="20" spans="3:29" ht="13.5" thickBot="1" x14ac:dyDescent="0.25">
      <c r="E20" s="251">
        <v>3</v>
      </c>
      <c r="F20" s="248">
        <v>7.5</v>
      </c>
      <c r="H20" s="312"/>
      <c r="I20" s="243">
        <v>0</v>
      </c>
      <c r="J20" s="243" t="str" cm="1">
        <f t="array" ref="J20">IFERROR(
        SMALL(
            IF($I$6:$I$30=1, ROW($I$6:$I$30)-ROW($I$6)+1),
            ROW(A15)
        ),"")</f>
        <v/>
      </c>
      <c r="K20" s="243" t="str" cm="1">
        <f t="array" ref="K20">IFERROR(
    INDEX(Ploegen,
        J20    ) &amp; " A",
"")</f>
        <v/>
      </c>
      <c r="L20" s="231" t="str" cm="1">
        <f t="array" ref="L20">IF(K20&lt;&gt;"",
INDEX(Ploegen!$D$3:$D$27,
    J20,
0),"")</f>
        <v/>
      </c>
      <c r="M20" s="231" t="str" cm="1">
        <f t="array" ref="M20">IF(K20&lt;&gt;"",
INDEX(Ploegen!$Q$3:$U$27,
    SMALL(
        IF($I$6:$I$30=1, ROW($I$6:$I$30)-ROW($I$6)+1),
        ROW(A15)
    ),
0),"")</f>
        <v/>
      </c>
      <c r="N20" s="231"/>
      <c r="O20" s="231"/>
      <c r="P20" s="231"/>
      <c r="Q20" s="232"/>
      <c r="R20" t="str">
        <f t="shared" si="0"/>
        <v/>
      </c>
      <c r="S20" t="str">
        <f t="shared" si="1"/>
        <v/>
      </c>
      <c r="U20" s="258" t="str" cm="1">
        <f t="array" ref="U20">IFERROR(
  INDEX($K$6:$K$155,
    MATCH(
      _xlfn.AGGREGATE(14,6,$S$6:$S$155/($R$6:$R$155&gt;=varDrempelwaarde),ROW(A15)),
      $S$6:$S$155,
      0
    ),
  1),
"")</f>
        <v/>
      </c>
      <c r="V20"/>
      <c r="W20"/>
      <c r="X20"/>
      <c r="Y20"/>
      <c r="Z20"/>
      <c r="AA20"/>
      <c r="AC20" s="227" t="e">
        <f t="shared" si="2"/>
        <v>#VALUE!</v>
      </c>
    </row>
    <row r="21" spans="3:29" ht="13.5" thickBot="1" x14ac:dyDescent="0.25">
      <c r="H21" s="312"/>
      <c r="I21" s="243">
        <v>0</v>
      </c>
      <c r="J21" s="243" t="str" cm="1">
        <f t="array" ref="J21">IFERROR(
        SMALL(
            IF($I$6:$I$30=1, ROW($I$6:$I$30)-ROW($I$6)+1),
            ROW(A16)
        ),"")</f>
        <v/>
      </c>
      <c r="K21" s="243" t="str" cm="1">
        <f t="array" ref="K21">IFERROR(
    INDEX(Ploegen,
        J21    ) &amp; " A",
"")</f>
        <v/>
      </c>
      <c r="L21" s="231" t="str" cm="1">
        <f t="array" ref="L21">IF(K21&lt;&gt;"",
INDEX(Ploegen!$D$3:$D$27,
    J21,
0),"")</f>
        <v/>
      </c>
      <c r="M21" s="231" t="str" cm="1">
        <f t="array" ref="M21">IF(K21&lt;&gt;"",
INDEX(Ploegen!$Q$3:$U$27,
    SMALL(
        IF($I$6:$I$30=1, ROW($I$6:$I$30)-ROW($I$6)+1),
        ROW(A16)
    ),
0),"")</f>
        <v/>
      </c>
      <c r="N21" s="231"/>
      <c r="O21" s="231"/>
      <c r="P21" s="231"/>
      <c r="Q21" s="232"/>
      <c r="R21" t="str">
        <f t="shared" si="0"/>
        <v/>
      </c>
      <c r="S21" t="str">
        <f t="shared" si="1"/>
        <v/>
      </c>
      <c r="U21" s="258" t="str" cm="1">
        <f t="array" ref="U21">IFERROR(
  INDEX($K$6:$K$155,
    MATCH(
      _xlfn.AGGREGATE(14,6,$S$6:$S$155/($R$6:$R$155&gt;=varDrempelwaarde),ROW(A16)),
      $S$6:$S$155,
      0
    ),
  1),
"")</f>
        <v/>
      </c>
      <c r="V21"/>
      <c r="W21"/>
      <c r="X21"/>
      <c r="Y21"/>
      <c r="Z21"/>
      <c r="AA21"/>
      <c r="AC21" s="227" t="e">
        <f t="shared" si="2"/>
        <v>#VALUE!</v>
      </c>
    </row>
    <row r="22" spans="3:29" x14ac:dyDescent="0.2">
      <c r="D22" s="318" t="s">
        <v>85</v>
      </c>
      <c r="E22" s="320" t="s">
        <v>137</v>
      </c>
      <c r="F22" s="322" t="s">
        <v>78</v>
      </c>
      <c r="H22" s="312"/>
      <c r="I22" s="243">
        <v>0</v>
      </c>
      <c r="J22" s="243" t="str" cm="1">
        <f t="array" ref="J22">IFERROR(
        SMALL(
            IF($I$6:$I$30=1, ROW($I$6:$I$30)-ROW($I$6)+1),
            ROW(A17)
        ),"")</f>
        <v/>
      </c>
      <c r="K22" s="243" t="str" cm="1">
        <f t="array" ref="K22">IFERROR(
    INDEX(Ploegen,
        J22    ) &amp; " A",
"")</f>
        <v/>
      </c>
      <c r="L22" s="231" t="str" cm="1">
        <f t="array" ref="L22">IF(K22&lt;&gt;"",
INDEX(Ploegen!$D$3:$D$27,
    J22,
0),"")</f>
        <v/>
      </c>
      <c r="M22" s="231" t="str" cm="1">
        <f t="array" ref="M22">IF(K22&lt;&gt;"",
INDEX(Ploegen!$Q$3:$U$27,
    SMALL(
        IF($I$6:$I$30=1, ROW($I$6:$I$30)-ROW($I$6)+1),
        ROW(A17)
    ),
0),"")</f>
        <v/>
      </c>
      <c r="N22" s="231"/>
      <c r="O22" s="231"/>
      <c r="P22" s="231"/>
      <c r="Q22" s="232"/>
      <c r="R22" t="str">
        <f t="shared" si="0"/>
        <v/>
      </c>
      <c r="S22" t="str">
        <f t="shared" si="1"/>
        <v/>
      </c>
      <c r="U22" s="258" t="str" cm="1">
        <f t="array" ref="U22">IFERROR(
  INDEX($K$6:$K$155,
    MATCH(
      _xlfn.AGGREGATE(14,6,$S$6:$S$155/($R$6:$R$155&gt;=varDrempelwaarde),ROW(A17)),
      $S$6:$S$155,
      0
    ),
  1),
"")</f>
        <v/>
      </c>
      <c r="V22"/>
      <c r="W22"/>
      <c r="X22"/>
      <c r="Y22"/>
      <c r="Z22"/>
      <c r="AA22"/>
      <c r="AC22" s="227" t="e">
        <f t="shared" si="2"/>
        <v>#VALUE!</v>
      </c>
    </row>
    <row r="23" spans="3:29" ht="13.5" thickBot="1" x14ac:dyDescent="0.25">
      <c r="D23" s="319"/>
      <c r="E23" s="321"/>
      <c r="F23" s="323"/>
      <c r="H23" s="312"/>
      <c r="I23" s="243">
        <v>0</v>
      </c>
      <c r="J23" s="243" t="str" cm="1">
        <f t="array" ref="J23">IFERROR(
        SMALL(
            IF($I$6:$I$30=1, ROW($I$6:$I$30)-ROW($I$6)+1),
            ROW(A18)
        ),"")</f>
        <v/>
      </c>
      <c r="K23" s="243" t="str" cm="1">
        <f t="array" ref="K23">IFERROR(
    INDEX(Ploegen,
        J23    ) &amp; " A",
"")</f>
        <v/>
      </c>
      <c r="L23" s="231" t="str" cm="1">
        <f t="array" ref="L23">IF(K23&lt;&gt;"",
INDEX(Ploegen!$D$3:$D$27,
    J23,
0),"")</f>
        <v/>
      </c>
      <c r="M23" s="231" t="str" cm="1">
        <f t="array" ref="M23">IF(K23&lt;&gt;"",
INDEX(Ploegen!$Q$3:$U$27,
    SMALL(
        IF($I$6:$I$30=1, ROW($I$6:$I$30)-ROW($I$6)+1),
        ROW(A18)
    ),
0),"")</f>
        <v/>
      </c>
      <c r="N23" s="231"/>
      <c r="O23" s="231"/>
      <c r="P23" s="231"/>
      <c r="Q23" s="232"/>
      <c r="R23" t="str">
        <f t="shared" si="0"/>
        <v/>
      </c>
      <c r="S23" t="str">
        <f t="shared" si="1"/>
        <v/>
      </c>
      <c r="U23" s="258" t="str" cm="1">
        <f t="array" ref="U23">IFERROR(
  INDEX($K$6:$K$155,
    MATCH(
      _xlfn.AGGREGATE(14,6,$S$6:$S$155/($R$6:$R$155&gt;=varDrempelwaarde),ROW(A18)),
      $S$6:$S$155,
      0
    ),
  1),
"")</f>
        <v/>
      </c>
      <c r="V23"/>
      <c r="W23"/>
      <c r="X23"/>
      <c r="Y23"/>
      <c r="Z23"/>
      <c r="AA23"/>
      <c r="AC23" s="227" t="e">
        <f t="shared" si="2"/>
        <v>#VALUE!</v>
      </c>
    </row>
    <row r="24" spans="3:29" x14ac:dyDescent="0.2">
      <c r="C24" s="255" t="s">
        <v>95</v>
      </c>
      <c r="D24" s="230">
        <f>COUNTIF(varSleutel,LARGE(varSleutel,1))</f>
        <v>0</v>
      </c>
      <c r="E24" s="252">
        <f>SUM(INDEX(F18:F20,1):INDEX(F18:F20,MIN(D24,3)))</f>
        <v>30</v>
      </c>
      <c r="F24" s="253" t="e">
        <f>IF(E24&lt;&gt;"",ROUND(E24/D24,1),"")</f>
        <v>#DIV/0!</v>
      </c>
      <c r="H24" s="312"/>
      <c r="I24" s="243">
        <v>0</v>
      </c>
      <c r="J24" s="243" t="str" cm="1">
        <f t="array" ref="J24">IFERROR(
        SMALL(
            IF($I$6:$I$30=1, ROW($I$6:$I$30)-ROW($I$6)+1),
            ROW(A19)
        ),"")</f>
        <v/>
      </c>
      <c r="K24" s="243" t="str" cm="1">
        <f t="array" ref="K24">IFERROR(
    INDEX(Ploegen,
        J24    ) &amp; " A",
"")</f>
        <v/>
      </c>
      <c r="L24" s="231" t="str" cm="1">
        <f t="array" ref="L24">IF(K24&lt;&gt;"",
INDEX(Ploegen!$D$3:$D$27,
    J24,
0),"")</f>
        <v/>
      </c>
      <c r="M24" s="231" t="str" cm="1">
        <f t="array" ref="M24">IF(K24&lt;&gt;"",
INDEX(Ploegen!$Q$3:$U$27,
    SMALL(
        IF($I$6:$I$30=1, ROW($I$6:$I$30)-ROW($I$6)+1),
        ROW(A19)
    ),
0),"")</f>
        <v/>
      </c>
      <c r="N24" s="231"/>
      <c r="O24" s="231"/>
      <c r="P24" s="231"/>
      <c r="Q24" s="232"/>
      <c r="R24" t="str">
        <f t="shared" si="0"/>
        <v/>
      </c>
      <c r="S24" t="str">
        <f t="shared" si="1"/>
        <v/>
      </c>
      <c r="U24" s="258" t="str" cm="1">
        <f t="array" ref="U24">IFERROR(
  INDEX($K$6:$K$155,
    MATCH(
      _xlfn.AGGREGATE(14,6,$S$6:$S$155/($R$6:$R$155&gt;=varDrempelwaarde),ROW(A19)),
      $S$6:$S$155,
      0
    ),
  1),
"")</f>
        <v/>
      </c>
      <c r="V24"/>
      <c r="W24"/>
      <c r="X24"/>
      <c r="Y24"/>
      <c r="Z24"/>
      <c r="AA24"/>
      <c r="AC24" s="227" t="e">
        <f t="shared" si="2"/>
        <v>#VALUE!</v>
      </c>
    </row>
    <row r="25" spans="3:29" x14ac:dyDescent="0.2">
      <c r="C25" s="255" t="s">
        <v>101</v>
      </c>
      <c r="D25" s="230">
        <f>IF(D24&lt;3,COUNTIF(varSleutel,LARGE(varSleutel,2)),0)</f>
        <v>0</v>
      </c>
      <c r="E25" s="252" t="e">
        <f>SUM(INDEX(F18:F20,1+MAX(0,3-(D24+D25))):INDEX(F18:F20,MIN(3,D24+D25)))</f>
        <v>#REF!</v>
      </c>
      <c r="F25" s="253" t="e">
        <f>IF(E25&lt;&gt;"",ROUND(E25/D25,1),"")</f>
        <v>#REF!</v>
      </c>
      <c r="H25" s="312"/>
      <c r="I25" s="243">
        <v>0</v>
      </c>
      <c r="J25" s="243" t="str" cm="1">
        <f t="array" ref="J25">IFERROR(
        SMALL(
            IF($I$6:$I$30=1, ROW($I$6:$I$30)-ROW($I$6)+1),
            ROW(A20)
        ),"")</f>
        <v/>
      </c>
      <c r="K25" s="243" t="str" cm="1">
        <f t="array" ref="K25">IFERROR(
    INDEX(Ploegen,
        J25    ) &amp; " A",
"")</f>
        <v/>
      </c>
      <c r="L25" s="231" t="str" cm="1">
        <f t="array" ref="L25">IF(K25&lt;&gt;"",
INDEX(Ploegen!$D$3:$D$27,
    J25,
0),"")</f>
        <v/>
      </c>
      <c r="M25" s="231" t="str" cm="1">
        <f t="array" ref="M25">IF(K25&lt;&gt;"",
INDEX(Ploegen!$Q$3:$U$27,
    SMALL(
        IF($I$6:$I$30=1, ROW($I$6:$I$30)-ROW($I$6)+1),
        ROW(A20)
    ),
0),"")</f>
        <v/>
      </c>
      <c r="N25" s="231"/>
      <c r="O25" s="231"/>
      <c r="P25" s="231"/>
      <c r="Q25" s="232"/>
      <c r="R25" t="str">
        <f t="shared" si="0"/>
        <v/>
      </c>
      <c r="S25" t="str">
        <f t="shared" si="1"/>
        <v/>
      </c>
      <c r="U25" s="258" t="str" cm="1">
        <f t="array" ref="U25">IFERROR(
  INDEX($K$6:$K$155,
    MATCH(
      _xlfn.AGGREGATE(14,6,$S$6:$S$155/($R$6:$R$155&gt;=varDrempelwaarde),ROW(A20)),
      $S$6:$S$155,
      0
    ),
  1),
"")</f>
        <v/>
      </c>
      <c r="V25"/>
      <c r="W25"/>
      <c r="X25"/>
      <c r="Y25"/>
      <c r="Z25"/>
      <c r="AA25"/>
      <c r="AC25" s="227" t="e">
        <f t="shared" si="2"/>
        <v>#VALUE!</v>
      </c>
    </row>
    <row r="26" spans="3:29" ht="13.5" thickBot="1" x14ac:dyDescent="0.25">
      <c r="C26" s="255" t="s">
        <v>136</v>
      </c>
      <c r="D26" s="233">
        <f>IF(SUM(D24:D25)&lt;3,COUNTIF(varSleutel,LARGE(varSleutel,3)),0)</f>
        <v>0</v>
      </c>
      <c r="E26" s="254">
        <f>IF(D24+D25&lt;=2,F20,0)</f>
        <v>7.5</v>
      </c>
      <c r="F26" s="239" t="e">
        <f>IF(E26&lt;&gt;"",ROUND(E26/D26,1),"")</f>
        <v>#DIV/0!</v>
      </c>
      <c r="H26" s="312"/>
      <c r="I26" s="243">
        <v>0</v>
      </c>
      <c r="J26" s="243" t="str" cm="1">
        <f t="array" ref="J26">IFERROR(
        SMALL(
            IF($I$6:$I$30=1, ROW($I$6:$I$30)-ROW($I$6)+1),
            ROW(A21)
        ),"")</f>
        <v/>
      </c>
      <c r="K26" s="243" t="str" cm="1">
        <f t="array" ref="K26">IFERROR(
    INDEX(Ploegen,
        J26    ) &amp; " A",
"")</f>
        <v/>
      </c>
      <c r="L26" s="231" t="str" cm="1">
        <f t="array" ref="L26">IF(K26&lt;&gt;"",
INDEX(Ploegen!$D$3:$D$27,
    J26,
0),"")</f>
        <v/>
      </c>
      <c r="M26" s="231" t="str" cm="1">
        <f t="array" ref="M26">IF(K26&lt;&gt;"",
INDEX(Ploegen!$Q$3:$U$27,
    SMALL(
        IF($I$6:$I$30=1, ROW($I$6:$I$30)-ROW($I$6)+1),
        ROW(A21)
    ),
0),"")</f>
        <v/>
      </c>
      <c r="N26" s="231"/>
      <c r="O26" s="231"/>
      <c r="P26" s="231"/>
      <c r="Q26" s="232"/>
      <c r="R26" t="str">
        <f t="shared" si="0"/>
        <v/>
      </c>
      <c r="S26" t="str">
        <f t="shared" si="1"/>
        <v/>
      </c>
      <c r="U26" s="258" t="str" cm="1">
        <f t="array" ref="U26">IFERROR(
  INDEX($K$6:$K$155,
    MATCH(
      _xlfn.AGGREGATE(14,6,$S$6:$S$155/($R$6:$R$155&gt;=varDrempelwaarde),ROW(A21)),
      $S$6:$S$155,
      0
    ),
  1),
"")</f>
        <v/>
      </c>
      <c r="V26"/>
      <c r="W26"/>
      <c r="X26"/>
      <c r="Y26"/>
      <c r="Z26"/>
      <c r="AA26"/>
      <c r="AC26" s="227" t="e">
        <f t="shared" si="2"/>
        <v>#VALUE!</v>
      </c>
    </row>
    <row r="27" spans="3:29" x14ac:dyDescent="0.2">
      <c r="H27" s="312"/>
      <c r="I27" s="243">
        <v>0</v>
      </c>
      <c r="J27" s="243" t="str" cm="1">
        <f t="array" ref="J27">IFERROR(
        SMALL(
            IF($I$6:$I$30=1, ROW($I$6:$I$30)-ROW($I$6)+1),
            ROW(A22)
        ),"")</f>
        <v/>
      </c>
      <c r="K27" s="243" t="str" cm="1">
        <f t="array" ref="K27">IFERROR(
    INDEX(Ploegen,
        J27    ) &amp; " A",
"")</f>
        <v/>
      </c>
      <c r="L27" s="231" t="str" cm="1">
        <f t="array" ref="L27">IF(K27&lt;&gt;"",
INDEX(Ploegen!$D$3:$D$27,
    J27,
0),"")</f>
        <v/>
      </c>
      <c r="M27" s="231" t="str" cm="1">
        <f t="array" ref="M27">IF(K27&lt;&gt;"",
INDEX(Ploegen!$Q$3:$U$27,
    SMALL(
        IF($I$6:$I$30=1, ROW($I$6:$I$30)-ROW($I$6)+1),
        ROW(A22)
    ),
0),"")</f>
        <v/>
      </c>
      <c r="N27" s="231"/>
      <c r="O27" s="231"/>
      <c r="P27" s="231"/>
      <c r="Q27" s="232"/>
      <c r="R27" t="str">
        <f t="shared" si="0"/>
        <v/>
      </c>
      <c r="S27" t="str">
        <f t="shared" si="1"/>
        <v/>
      </c>
      <c r="U27" s="258" t="str" cm="1">
        <f t="array" ref="U27">IFERROR(
  INDEX($K$6:$K$155,
    MATCH(
      _xlfn.AGGREGATE(14,6,$S$6:$S$155/($R$6:$R$155&gt;=varDrempelwaarde),ROW(A22)),
      $S$6:$S$155,
      0
    ),
  1),
"")</f>
        <v/>
      </c>
      <c r="V27"/>
      <c r="W27"/>
      <c r="X27"/>
      <c r="Y27"/>
      <c r="Z27"/>
      <c r="AA27"/>
      <c r="AC27" s="227" t="e">
        <f t="shared" si="2"/>
        <v>#VALUE!</v>
      </c>
    </row>
    <row r="28" spans="3:29" x14ac:dyDescent="0.2">
      <c r="H28" s="312"/>
      <c r="I28" s="243">
        <v>0</v>
      </c>
      <c r="J28" s="243" t="str" cm="1">
        <f t="array" ref="J28">IFERROR(
        SMALL(
            IF($I$6:$I$30=1, ROW($I$6:$I$30)-ROW($I$6)+1),
            ROW(A23)
        ),"")</f>
        <v/>
      </c>
      <c r="K28" s="243" t="str" cm="1">
        <f t="array" ref="K28">IFERROR(
    INDEX(Ploegen,
        J28    ) &amp; " A",
"")</f>
        <v/>
      </c>
      <c r="L28" s="231" t="str" cm="1">
        <f t="array" ref="L28">IF(K28&lt;&gt;"",
INDEX(Ploegen!$D$3:$D$27,
    J28,
0),"")</f>
        <v/>
      </c>
      <c r="M28" s="231" t="str" cm="1">
        <f t="array" ref="M28">IF(K28&lt;&gt;"",
INDEX(Ploegen!$Q$3:$U$27,
    SMALL(
        IF($I$6:$I$30=1, ROW($I$6:$I$30)-ROW($I$6)+1),
        ROW(A23)
    ),
0),"")</f>
        <v/>
      </c>
      <c r="N28" s="231"/>
      <c r="O28" s="231"/>
      <c r="P28" s="231"/>
      <c r="Q28" s="232"/>
      <c r="R28" t="str">
        <f t="shared" si="0"/>
        <v/>
      </c>
      <c r="S28" t="str">
        <f t="shared" si="1"/>
        <v/>
      </c>
      <c r="U28" s="258" t="str" cm="1">
        <f t="array" ref="U28">IFERROR(
  INDEX($K$6:$K$155,
    MATCH(
      _xlfn.AGGREGATE(14,6,$S$6:$S$155/($R$6:$R$155&gt;=varDrempelwaarde),ROW(A23)),
      $S$6:$S$155,
      0
    ),
  1),
"")</f>
        <v/>
      </c>
      <c r="V28"/>
      <c r="W28"/>
      <c r="X28"/>
      <c r="Y28"/>
      <c r="Z28"/>
      <c r="AA28"/>
      <c r="AC28" s="227" t="e">
        <f t="shared" si="2"/>
        <v>#VALUE!</v>
      </c>
    </row>
    <row r="29" spans="3:29" x14ac:dyDescent="0.2">
      <c r="H29" s="312"/>
      <c r="I29" s="243">
        <v>0</v>
      </c>
      <c r="J29" s="243" t="str" cm="1">
        <f t="array" ref="J29">IFERROR(
        SMALL(
            IF($I$6:$I$30=1, ROW($I$6:$I$30)-ROW($I$6)+1),
            ROW(A24)
        ),"")</f>
        <v/>
      </c>
      <c r="K29" s="243" t="str" cm="1">
        <f t="array" ref="K29">IFERROR(
    INDEX(Ploegen,
        J29    ) &amp; " A",
"")</f>
        <v/>
      </c>
      <c r="L29" s="231" t="str" cm="1">
        <f t="array" ref="L29">IF(K29&lt;&gt;"",
INDEX(Ploegen!$D$3:$D$27,
    J29,
0),"")</f>
        <v/>
      </c>
      <c r="M29" s="231" t="str" cm="1">
        <f t="array" ref="M29">IF(K29&lt;&gt;"",
INDEX(Ploegen!$Q$3:$U$27,
    SMALL(
        IF($I$6:$I$30=1, ROW($I$6:$I$30)-ROW($I$6)+1),
        ROW(A24)
    ),
0),"")</f>
        <v/>
      </c>
      <c r="N29" s="231"/>
      <c r="O29" s="231"/>
      <c r="P29" s="231"/>
      <c r="Q29" s="232"/>
      <c r="R29" t="str">
        <f t="shared" si="0"/>
        <v/>
      </c>
      <c r="S29" t="str">
        <f t="shared" si="1"/>
        <v/>
      </c>
      <c r="U29" s="258" t="str" cm="1">
        <f t="array" ref="U29">IFERROR(
  INDEX($K$6:$K$155,
    MATCH(
      _xlfn.AGGREGATE(14,6,$S$6:$S$155/($R$6:$R$155&gt;=varDrempelwaarde),ROW(A24)),
      $S$6:$S$155,
      0
    ),
  1),
"")</f>
        <v/>
      </c>
      <c r="V29"/>
      <c r="W29"/>
      <c r="X29"/>
      <c r="Y29"/>
      <c r="Z29"/>
      <c r="AA29"/>
      <c r="AC29" s="227" t="e">
        <f t="shared" si="2"/>
        <v>#VALUE!</v>
      </c>
    </row>
    <row r="30" spans="3:29" ht="13.5" thickBot="1" x14ac:dyDescent="0.25">
      <c r="H30" s="313"/>
      <c r="I30" s="244">
        <v>0</v>
      </c>
      <c r="J30" s="244" t="str" cm="1">
        <f t="array" ref="J30">IFERROR(
        SMALL(
            IF($I$6:$I$30=1, ROW($I$6:$I$30)-ROW($I$6)+1),
            ROW(A25)
        ),"")</f>
        <v/>
      </c>
      <c r="K30" s="244" t="str" cm="1">
        <f t="array" ref="K30">IFERROR(
    INDEX(Ploegen,
        J30    ) &amp; " A",
"")</f>
        <v/>
      </c>
      <c r="L30" s="234" t="str" cm="1">
        <f t="array" ref="L30">IF(K30&lt;&gt;"",
INDEX(Ploegen!$D$3:$D$27,
    J30,
0),"")</f>
        <v/>
      </c>
      <c r="M30" s="234" t="str" cm="1">
        <f t="array" ref="M30">IF(K30&lt;&gt;"",
INDEX(Ploegen!$Q$3:$U$27,
    SMALL(
        IF($I$6:$I$30=1, ROW($I$6:$I$30)-ROW($I$6)+1),
        ROW(A25)
    ),
0),"")</f>
        <v/>
      </c>
      <c r="N30" s="234"/>
      <c r="O30" s="234"/>
      <c r="P30" s="234"/>
      <c r="Q30" s="235"/>
      <c r="R30" t="str">
        <f t="shared" si="0"/>
        <v/>
      </c>
      <c r="S30" t="str">
        <f t="shared" si="1"/>
        <v/>
      </c>
      <c r="U30" s="259" t="str" cm="1">
        <f t="array" ref="U30">IFERROR(
  INDEX($K$6:$K$155,
    MATCH(
      _xlfn.AGGREGATE(14,6,$S$6:$S$155/($R$6:$R$155&gt;=varDrempelwaarde),ROW(A25)),
      $S$6:$S$155,
      0
    ),
  1),
"")</f>
        <v/>
      </c>
      <c r="V30"/>
      <c r="W30"/>
      <c r="X30"/>
      <c r="Y30"/>
      <c r="Z30"/>
      <c r="AA30"/>
      <c r="AC30" s="227" t="e">
        <f t="shared" si="2"/>
        <v>#VALUE!</v>
      </c>
    </row>
    <row r="31" spans="3:29" x14ac:dyDescent="0.2">
      <c r="H31" s="311" t="s">
        <v>4</v>
      </c>
      <c r="I31" s="241" cm="1">
        <f t="array" ref="I31:I55">IFERROR((Uitslagen_B &gt;= Prijs_vanaf)*(Ploegen &lt;&gt; Stand)*(Minder_dan_6 = "")*(COUNT(Ploegen!D3:I27)&gt;2),0)</f>
        <v>0</v>
      </c>
      <c r="J31" s="241" t="str" cm="1">
        <f t="array" ref="J31">IFERROR(
        SMALL(
            IF($I$31:$I$55=1, ROW($I$31:$I$55)-ROW($I$31)+1),
            ROW(A1)
        ),"")</f>
        <v/>
      </c>
      <c r="K31" s="241" t="str" cm="1">
        <f t="array" ref="K31">IFERROR(
    INDEX(Ploegen,
        J31    ) &amp; " B",
"")</f>
        <v/>
      </c>
      <c r="L31" s="242" t="str" cm="1">
        <f t="array" ref="L31">IF(K31&lt;&gt;"",
INDEX(Ploegen!$E$3:$E$27,
    J31,
0),"")</f>
        <v/>
      </c>
      <c r="M31" s="242" t="str" cm="1">
        <f t="array" ref="M31">IF(K31&lt;&gt;"",
INDEX(Ploegen!$V$3:$Y$27,
    SMALL(
        IF($I$31:$I$55=1, ROW($I$31:$I$55)-ROW($I$31)+1),
        ROW(A1)
    ),
0),"")</f>
        <v/>
      </c>
      <c r="N31" s="242"/>
      <c r="O31" s="242"/>
      <c r="P31" s="242"/>
      <c r="Q31" s="229"/>
      <c r="R31" t="str">
        <f t="shared" si="0"/>
        <v/>
      </c>
      <c r="S31" t="str">
        <f t="shared" si="1"/>
        <v/>
      </c>
      <c r="V31"/>
      <c r="W31"/>
      <c r="X31"/>
      <c r="Y31"/>
      <c r="Z31"/>
      <c r="AA31"/>
      <c r="AC31" s="227" t="e">
        <f t="shared" si="2"/>
        <v>#VALUE!</v>
      </c>
    </row>
    <row r="32" spans="3:29" x14ac:dyDescent="0.2">
      <c r="H32" s="312"/>
      <c r="I32" s="243">
        <v>0</v>
      </c>
      <c r="J32" s="243" t="str" cm="1">
        <f t="array" ref="J32">IFERROR(
        SMALL(
            IF($I$31:$I$55=1, ROW($I$31:$I$55)-ROW($I$31)+1),
            ROW(A2)
        ),"")</f>
        <v/>
      </c>
      <c r="K32" s="243" t="str" cm="1">
        <f t="array" ref="K32">IFERROR(
    INDEX(Ploegen,
        J32    ) &amp; " B",
"")</f>
        <v/>
      </c>
      <c r="L32" s="231" t="str" cm="1">
        <f t="array" ref="L32">IF(K32&lt;&gt;"",
INDEX(Ploegen!$E$3:$E$27,
    J32,
0),"")</f>
        <v/>
      </c>
      <c r="M32" s="231" t="str" cm="1">
        <f t="array" ref="M32">IF(K32&lt;&gt;"",
INDEX(Ploegen!$V$3:$Y$27,
    SMALL(
        IF($I$31:$I$55=1, ROW($I$31:$I$55)-ROW($I$31)+1),
        ROW(A2)
    ),
0),"")</f>
        <v/>
      </c>
      <c r="N32" s="231"/>
      <c r="O32" s="231"/>
      <c r="P32" s="231"/>
      <c r="Q32" s="232"/>
      <c r="R32" t="str">
        <f t="shared" si="0"/>
        <v/>
      </c>
      <c r="S32" t="str">
        <f t="shared" si="1"/>
        <v/>
      </c>
      <c r="AC32" s="227" t="e">
        <f t="shared" si="2"/>
        <v>#VALUE!</v>
      </c>
    </row>
    <row r="33" spans="8:29" x14ac:dyDescent="0.2">
      <c r="H33" s="312"/>
      <c r="I33" s="243">
        <v>0</v>
      </c>
      <c r="J33" s="243" t="str" cm="1">
        <f t="array" ref="J33">IFERROR(
        SMALL(
            IF($I$31:$I$55=1, ROW($I$31:$I$55)-ROW($I$31)+1),
            ROW(A3)
        ),"")</f>
        <v/>
      </c>
      <c r="K33" s="243" t="str" cm="1">
        <f t="array" ref="K33">IFERROR(
    INDEX(Ploegen,
        J33    ) &amp; " B",
"")</f>
        <v/>
      </c>
      <c r="L33" s="231" t="str" cm="1">
        <f t="array" ref="L33">IF(K33&lt;&gt;"",
INDEX(Ploegen!$E$3:$E$27,
    J33,
0),"")</f>
        <v/>
      </c>
      <c r="M33" s="231" t="str" cm="1">
        <f t="array" ref="M33">IF(K33&lt;&gt;"",
INDEX(Ploegen!$V$3:$Y$27,
    SMALL(
        IF($I$31:$I$55=1, ROW($I$31:$I$55)-ROW($I$31)+1),
        ROW(A3)
    ),
0),"")</f>
        <v/>
      </c>
      <c r="N33" s="231"/>
      <c r="O33" s="231"/>
      <c r="P33" s="231"/>
      <c r="Q33" s="232"/>
      <c r="R33" t="str">
        <f t="shared" si="0"/>
        <v/>
      </c>
      <c r="S33" s="196" t="str">
        <f t="shared" si="1"/>
        <v/>
      </c>
      <c r="AC33" s="227" t="e">
        <f t="shared" si="2"/>
        <v>#VALUE!</v>
      </c>
    </row>
    <row r="34" spans="8:29" x14ac:dyDescent="0.2">
      <c r="H34" s="312"/>
      <c r="I34" s="243">
        <v>0</v>
      </c>
      <c r="J34" s="243" t="str" cm="1">
        <f t="array" ref="J34">IFERROR(
        SMALL(
            IF($I$31:$I$55=1, ROW($I$31:$I$55)-ROW($I$31)+1),
            ROW(A4)
        ),"")</f>
        <v/>
      </c>
      <c r="K34" s="243" t="str" cm="1">
        <f t="array" ref="K34">IFERROR(
    INDEX(Ploegen,
        J34    ) &amp; " B",
"")</f>
        <v/>
      </c>
      <c r="L34" s="231" t="str" cm="1">
        <f t="array" ref="L34">IF(K34&lt;&gt;"",
INDEX(Ploegen!$E$3:$E$27,
    J34,
0),"")</f>
        <v/>
      </c>
      <c r="M34" s="231" t="str" cm="1">
        <f t="array" ref="M34">IF(K34&lt;&gt;"",
INDEX(Ploegen!$V$3:$Y$27,
    SMALL(
        IF($I$31:$I$55=1, ROW($I$31:$I$55)-ROW($I$31)+1),
        ROW(A4)
    ),
0),"")</f>
        <v/>
      </c>
      <c r="N34" s="231"/>
      <c r="O34" s="231"/>
      <c r="P34" s="231"/>
      <c r="Q34" s="232"/>
      <c r="R34" t="str">
        <f t="shared" si="0"/>
        <v/>
      </c>
      <c r="S34" s="196" t="str">
        <f t="shared" si="1"/>
        <v/>
      </c>
      <c r="T34" s="29"/>
      <c r="AC34" s="227" t="e">
        <f t="shared" si="2"/>
        <v>#VALUE!</v>
      </c>
    </row>
    <row r="35" spans="8:29" x14ac:dyDescent="0.2">
      <c r="H35" s="312"/>
      <c r="I35" s="243">
        <v>0</v>
      </c>
      <c r="J35" s="243" t="str" cm="1">
        <f t="array" ref="J35">IFERROR(
        SMALL(
            IF($I$31:$I$55=1, ROW($I$31:$I$55)-ROW($I$31)+1),
            ROW(A5)
        ),"")</f>
        <v/>
      </c>
      <c r="K35" s="243" t="str" cm="1">
        <f t="array" ref="K35">IFERROR(
    INDEX(Ploegen,
        J35    ) &amp; " B",
"")</f>
        <v/>
      </c>
      <c r="L35" s="231" t="str" cm="1">
        <f t="array" ref="L35">IF(K35&lt;&gt;"",
INDEX(Ploegen!$E$3:$E$27,
    J35,
0),"")</f>
        <v/>
      </c>
      <c r="M35" s="231" t="str" cm="1">
        <f t="array" ref="M35">IF(K35&lt;&gt;"",
INDEX(Ploegen!$V$3:$Y$27,
    SMALL(
        IF($I$31:$I$55=1, ROW($I$31:$I$55)-ROW($I$31)+1),
        ROW(A5)
    ),
0),"")</f>
        <v/>
      </c>
      <c r="N35" s="231"/>
      <c r="O35" s="231"/>
      <c r="P35" s="231"/>
      <c r="Q35" s="232"/>
      <c r="R35" t="str">
        <f t="shared" si="0"/>
        <v/>
      </c>
      <c r="S35" s="196" t="str">
        <f t="shared" si="1"/>
        <v/>
      </c>
      <c r="T35" s="29"/>
      <c r="AC35" s="227" t="e">
        <f t="shared" si="2"/>
        <v>#VALUE!</v>
      </c>
    </row>
    <row r="36" spans="8:29" x14ac:dyDescent="0.2">
      <c r="H36" s="312"/>
      <c r="I36" s="243">
        <v>0</v>
      </c>
      <c r="J36" s="243" t="str" cm="1">
        <f t="array" ref="J36">IFERROR(
        SMALL(
            IF($I$31:$I$55=1, ROW($I$31:$I$55)-ROW($I$31)+1),
            ROW(A6)
        ),"")</f>
        <v/>
      </c>
      <c r="K36" s="243" t="str" cm="1">
        <f t="array" ref="K36">IFERROR(
    INDEX(Ploegen,
        J36    ) &amp; " B",
"")</f>
        <v/>
      </c>
      <c r="L36" s="231" t="str" cm="1">
        <f t="array" ref="L36">IF(K36&lt;&gt;"",
INDEX(Ploegen!$E$3:$E$27,
    J36,
0),"")</f>
        <v/>
      </c>
      <c r="M36" s="231" t="str" cm="1">
        <f t="array" ref="M36">IF(K36&lt;&gt;"",
INDEX(Ploegen!$V$3:$Y$27,
    SMALL(
        IF($I$31:$I$55=1, ROW($I$31:$I$55)-ROW($I$31)+1),
        ROW(A6)
    ),
0),"")</f>
        <v/>
      </c>
      <c r="N36" s="231"/>
      <c r="O36" s="231"/>
      <c r="P36" s="231"/>
      <c r="Q36" s="232"/>
      <c r="R36" t="str">
        <f t="shared" si="0"/>
        <v/>
      </c>
      <c r="S36" s="196" t="str">
        <f t="shared" si="1"/>
        <v/>
      </c>
      <c r="T36" s="29"/>
      <c r="AC36" s="227" t="e">
        <f t="shared" si="2"/>
        <v>#VALUE!</v>
      </c>
    </row>
    <row r="37" spans="8:29" x14ac:dyDescent="0.2">
      <c r="H37" s="312"/>
      <c r="I37" s="243">
        <v>0</v>
      </c>
      <c r="J37" s="243" t="str" cm="1">
        <f t="array" ref="J37">IFERROR(
        SMALL(
            IF($I$31:$I$55=1, ROW($I$31:$I$55)-ROW($I$31)+1),
            ROW(A7)
        ),"")</f>
        <v/>
      </c>
      <c r="K37" s="243" t="str" cm="1">
        <f t="array" ref="K37">IFERROR(
    INDEX(Ploegen,
        J37    ) &amp; " B",
"")</f>
        <v/>
      </c>
      <c r="L37" s="231" t="str" cm="1">
        <f t="array" ref="L37">IF(K37&lt;&gt;"",
INDEX(Ploegen!$E$3:$E$27,
    J37,
0),"")</f>
        <v/>
      </c>
      <c r="M37" s="231" t="str" cm="1">
        <f t="array" ref="M37">IF(K37&lt;&gt;"",
INDEX(Ploegen!$V$3:$Y$27,
    SMALL(
        IF($I$31:$I$55=1, ROW($I$31:$I$55)-ROW($I$31)+1),
        ROW(A7)
    ),
0),"")</f>
        <v/>
      </c>
      <c r="N37" s="231"/>
      <c r="O37" s="231"/>
      <c r="P37" s="231"/>
      <c r="Q37" s="232"/>
      <c r="R37" t="str">
        <f t="shared" si="0"/>
        <v/>
      </c>
      <c r="S37" s="196" t="str">
        <f t="shared" si="1"/>
        <v/>
      </c>
      <c r="T37" s="29"/>
      <c r="AC37" s="227" t="e">
        <f t="shared" si="2"/>
        <v>#VALUE!</v>
      </c>
    </row>
    <row r="38" spans="8:29" x14ac:dyDescent="0.2">
      <c r="H38" s="312"/>
      <c r="I38" s="243">
        <v>0</v>
      </c>
      <c r="J38" s="243" t="str" cm="1">
        <f t="array" ref="J38">IFERROR(
        SMALL(
            IF($I$31:$I$55=1, ROW($I$31:$I$55)-ROW($I$31)+1),
            ROW(A8)
        ),"")</f>
        <v/>
      </c>
      <c r="K38" s="243" t="str" cm="1">
        <f t="array" ref="K38">IFERROR(
    INDEX(Ploegen,
        J38    ) &amp; " B",
"")</f>
        <v/>
      </c>
      <c r="L38" s="231" t="str" cm="1">
        <f t="array" ref="L38">IF(K38&lt;&gt;"",
INDEX(Ploegen!$E$3:$E$27,
    J38,
0),"")</f>
        <v/>
      </c>
      <c r="M38" s="231" t="str" cm="1">
        <f t="array" ref="M38">IF(K38&lt;&gt;"",
INDEX(Ploegen!$V$3:$Y$27,
    SMALL(
        IF($I$31:$I$55=1, ROW($I$31:$I$55)-ROW($I$31)+1),
        ROW(A8)
    ),
0),"")</f>
        <v/>
      </c>
      <c r="N38" s="231"/>
      <c r="O38" s="231"/>
      <c r="P38" s="231"/>
      <c r="Q38" s="232"/>
      <c r="R38" t="str">
        <f t="shared" si="0"/>
        <v/>
      </c>
      <c r="S38" s="196" t="str">
        <f t="shared" si="1"/>
        <v/>
      </c>
      <c r="T38" s="29"/>
      <c r="AC38" s="227" t="e">
        <f t="shared" si="2"/>
        <v>#VALUE!</v>
      </c>
    </row>
    <row r="39" spans="8:29" x14ac:dyDescent="0.2">
      <c r="H39" s="312"/>
      <c r="I39" s="243">
        <v>0</v>
      </c>
      <c r="J39" s="243" t="str" cm="1">
        <f t="array" ref="J39">IFERROR(
        SMALL(
            IF($I$31:$I$55=1, ROW($I$31:$I$55)-ROW($I$31)+1),
            ROW(A9)
        ),"")</f>
        <v/>
      </c>
      <c r="K39" s="243" t="str" cm="1">
        <f t="array" ref="K39">IFERROR(
    INDEX(Ploegen,
        J39    ) &amp; " B",
"")</f>
        <v/>
      </c>
      <c r="L39" s="231" t="str" cm="1">
        <f t="array" ref="L39">IF(K39&lt;&gt;"",
INDEX(Ploegen!$E$3:$E$27,
    J39,
0),"")</f>
        <v/>
      </c>
      <c r="M39" s="231" t="str" cm="1">
        <f t="array" ref="M39">IF(K39&lt;&gt;"",
INDEX(Ploegen!$V$3:$Y$27,
    SMALL(
        IF($I$31:$I$55=1, ROW($I$31:$I$55)-ROW($I$31)+1),
        ROW(A9)
    ),
0),"")</f>
        <v/>
      </c>
      <c r="N39" s="231"/>
      <c r="O39" s="231"/>
      <c r="P39" s="231"/>
      <c r="Q39" s="232"/>
      <c r="R39" t="str">
        <f t="shared" si="0"/>
        <v/>
      </c>
      <c r="S39" s="196" t="str">
        <f t="shared" si="1"/>
        <v/>
      </c>
      <c r="T39" s="29"/>
      <c r="AC39" s="227" t="e">
        <f t="shared" si="2"/>
        <v>#VALUE!</v>
      </c>
    </row>
    <row r="40" spans="8:29" x14ac:dyDescent="0.2">
      <c r="H40" s="312"/>
      <c r="I40" s="243">
        <v>0</v>
      </c>
      <c r="J40" s="243" t="str" cm="1">
        <f t="array" ref="J40">IFERROR(
        SMALL(
            IF($I$31:$I$55=1, ROW($I$31:$I$55)-ROW($I$31)+1),
            ROW(A10)
        ),"")</f>
        <v/>
      </c>
      <c r="K40" s="243" t="str" cm="1">
        <f t="array" ref="K40">IFERROR(
    INDEX(Ploegen,
        J40    ) &amp; " B",
"")</f>
        <v/>
      </c>
      <c r="L40" s="231" t="str" cm="1">
        <f t="array" ref="L40">IF(K40&lt;&gt;"",
INDEX(Ploegen!$E$3:$E$27,
    J40,
0),"")</f>
        <v/>
      </c>
      <c r="M40" s="231" t="str" cm="1">
        <f t="array" ref="M40">IF(K40&lt;&gt;"",
INDEX(Ploegen!$V$3:$Y$27,
    SMALL(
        IF($I$31:$I$55=1, ROW($I$31:$I$55)-ROW($I$31)+1),
        ROW(A10)
    ),
0),"")</f>
        <v/>
      </c>
      <c r="N40" s="231"/>
      <c r="O40" s="231"/>
      <c r="P40" s="231"/>
      <c r="Q40" s="232"/>
      <c r="R40" t="str">
        <f t="shared" si="0"/>
        <v/>
      </c>
      <c r="S40" s="196" t="str">
        <f t="shared" si="1"/>
        <v/>
      </c>
      <c r="T40" s="29"/>
    </row>
    <row r="41" spans="8:29" x14ac:dyDescent="0.2">
      <c r="H41" s="312"/>
      <c r="I41" s="243">
        <v>0</v>
      </c>
      <c r="J41" s="243" t="str" cm="1">
        <f t="array" ref="J41">IFERROR(
        SMALL(
            IF($I$31:$I$55=1, ROW($I$31:$I$55)-ROW($I$31)+1),
            ROW(A11)
        ),"")</f>
        <v/>
      </c>
      <c r="K41" s="243" t="str" cm="1">
        <f t="array" ref="K41">IFERROR(
    INDEX(Ploegen,
        J41    ) &amp; " B",
"")</f>
        <v/>
      </c>
      <c r="L41" s="231" t="str" cm="1">
        <f t="array" ref="L41">IF(K41&lt;&gt;"",
INDEX(Ploegen!$E$3:$E$27,
    J41,
0),"")</f>
        <v/>
      </c>
      <c r="M41" s="231" t="str" cm="1">
        <f t="array" ref="M41">IF(K41&lt;&gt;"",
INDEX(Ploegen!$V$3:$Y$27,
    SMALL(
        IF($I$31:$I$55=1, ROW($I$31:$I$55)-ROW($I$31)+1),
        ROW(A11)
    ),
0),"")</f>
        <v/>
      </c>
      <c r="N41" s="231"/>
      <c r="O41" s="231"/>
      <c r="P41" s="231"/>
      <c r="Q41" s="232"/>
      <c r="R41" t="str">
        <f t="shared" si="0"/>
        <v/>
      </c>
      <c r="S41" s="196" t="str">
        <f t="shared" si="1"/>
        <v/>
      </c>
    </row>
    <row r="42" spans="8:29" x14ac:dyDescent="0.2">
      <c r="H42" s="312"/>
      <c r="I42" s="243">
        <v>0</v>
      </c>
      <c r="J42" s="243" t="str" cm="1">
        <f t="array" ref="J42">IFERROR(
        SMALL(
            IF($I$31:$I$55=1, ROW($I$31:$I$55)-ROW($I$31)+1),
            ROW(A12)
        ),"")</f>
        <v/>
      </c>
      <c r="K42" s="243" t="str" cm="1">
        <f t="array" ref="K42">IFERROR(
    INDEX(Ploegen,
        J42    ) &amp; " B",
"")</f>
        <v/>
      </c>
      <c r="L42" s="231" t="str" cm="1">
        <f t="array" ref="L42">IF(K42&lt;&gt;"",
INDEX(Ploegen!$E$3:$E$27,
    J42,
0),"")</f>
        <v/>
      </c>
      <c r="M42" s="231" t="str" cm="1">
        <f t="array" ref="M42">IF(K42&lt;&gt;"",
INDEX(Ploegen!$V$3:$Y$27,
    SMALL(
        IF($I$31:$I$55=1, ROW($I$31:$I$55)-ROW($I$31)+1),
        ROW(A12)
    ),
0),"")</f>
        <v/>
      </c>
      <c r="N42" s="231"/>
      <c r="O42" s="231"/>
      <c r="P42" s="231"/>
      <c r="Q42" s="232"/>
      <c r="R42" t="str">
        <f t="shared" si="0"/>
        <v/>
      </c>
      <c r="S42" s="196" t="str">
        <f t="shared" si="1"/>
        <v/>
      </c>
    </row>
    <row r="43" spans="8:29" x14ac:dyDescent="0.2">
      <c r="H43" s="312"/>
      <c r="I43" s="243">
        <v>0</v>
      </c>
      <c r="J43" s="243" t="str" cm="1">
        <f t="array" ref="J43">IFERROR(
        SMALL(
            IF($I$31:$I$55=1, ROW($I$31:$I$55)-ROW($I$31)+1),
            ROW(A13)
        ),"")</f>
        <v/>
      </c>
      <c r="K43" s="243" t="str" cm="1">
        <f t="array" ref="K43">IFERROR(
    INDEX(Ploegen,
        J43    ) &amp; " B",
"")</f>
        <v/>
      </c>
      <c r="L43" s="231" t="str" cm="1">
        <f t="array" ref="L43">IF(K43&lt;&gt;"",
INDEX(Ploegen!$E$3:$E$27,
    J43,
0),"")</f>
        <v/>
      </c>
      <c r="M43" s="231" t="str" cm="1">
        <f t="array" ref="M43">IF(K43&lt;&gt;"",
INDEX(Ploegen!$V$3:$Y$27,
    SMALL(
        IF($I$31:$I$55=1, ROW($I$31:$I$55)-ROW($I$31)+1),
        ROW(A13)
    ),
0),"")</f>
        <v/>
      </c>
      <c r="N43" s="231"/>
      <c r="O43" s="231"/>
      <c r="P43" s="231"/>
      <c r="Q43" s="232"/>
      <c r="R43" t="str">
        <f t="shared" si="0"/>
        <v/>
      </c>
      <c r="S43" s="196" t="str">
        <f t="shared" si="1"/>
        <v/>
      </c>
    </row>
    <row r="44" spans="8:29" x14ac:dyDescent="0.2">
      <c r="H44" s="312"/>
      <c r="I44" s="243">
        <v>0</v>
      </c>
      <c r="J44" s="243" t="str" cm="1">
        <f t="array" ref="J44">IFERROR(
        SMALL(
            IF($I$31:$I$55=1, ROW($I$31:$I$55)-ROW($I$31)+1),
            ROW(A14)
        ),"")</f>
        <v/>
      </c>
      <c r="K44" s="243" t="str" cm="1">
        <f t="array" ref="K44">IFERROR(
    INDEX(Ploegen,
        J44    ) &amp; " B",
"")</f>
        <v/>
      </c>
      <c r="L44" s="231" t="str" cm="1">
        <f t="array" ref="L44">IF(K44&lt;&gt;"",
INDEX(Ploegen!$E$3:$E$27,
    J44,
0),"")</f>
        <v/>
      </c>
      <c r="M44" s="231" t="str" cm="1">
        <f t="array" ref="M44">IF(K44&lt;&gt;"",
INDEX(Ploegen!$V$3:$Y$27,
    SMALL(
        IF($I$31:$I$55=1, ROW($I$31:$I$55)-ROW($I$31)+1),
        ROW(A14)
    ),
0),"")</f>
        <v/>
      </c>
      <c r="N44" s="231"/>
      <c r="O44" s="231"/>
      <c r="P44" s="231"/>
      <c r="Q44" s="232"/>
      <c r="R44" t="str">
        <f t="shared" si="0"/>
        <v/>
      </c>
      <c r="S44" s="196" t="str">
        <f t="shared" si="1"/>
        <v/>
      </c>
    </row>
    <row r="45" spans="8:29" x14ac:dyDescent="0.2">
      <c r="H45" s="312"/>
      <c r="I45" s="243">
        <v>0</v>
      </c>
      <c r="J45" s="243" t="str" cm="1">
        <f t="array" ref="J45">IFERROR(
        SMALL(
            IF($I$31:$I$55=1, ROW($I$31:$I$55)-ROW($I$31)+1),
            ROW(A15)
        ),"")</f>
        <v/>
      </c>
      <c r="K45" s="243" t="str" cm="1">
        <f t="array" ref="K45">IFERROR(
    INDEX(Ploegen,
        J45    ) &amp; " B",
"")</f>
        <v/>
      </c>
      <c r="L45" s="231" t="str" cm="1">
        <f t="array" ref="L45">IF(K45&lt;&gt;"",
INDEX(Ploegen!$E$3:$E$27,
    J45,
0),"")</f>
        <v/>
      </c>
      <c r="M45" s="231" t="str" cm="1">
        <f t="array" ref="M45">IF(K45&lt;&gt;"",
INDEX(Ploegen!$V$3:$Y$27,
    SMALL(
        IF($I$31:$I$55=1, ROW($I$31:$I$55)-ROW($I$31)+1),
        ROW(A15)
    ),
0),"")</f>
        <v/>
      </c>
      <c r="N45" s="231"/>
      <c r="O45" s="231"/>
      <c r="P45" s="231"/>
      <c r="Q45" s="232"/>
      <c r="R45" t="str">
        <f t="shared" si="0"/>
        <v/>
      </c>
      <c r="S45" s="196" t="str">
        <f t="shared" si="1"/>
        <v/>
      </c>
    </row>
    <row r="46" spans="8:29" x14ac:dyDescent="0.2">
      <c r="H46" s="312"/>
      <c r="I46" s="243">
        <v>0</v>
      </c>
      <c r="J46" s="243" t="str" cm="1">
        <f t="array" ref="J46">IFERROR(
        SMALL(
            IF($I$31:$I$55=1, ROW($I$31:$I$55)-ROW($I$31)+1),
            ROW(A16)
        ),"")</f>
        <v/>
      </c>
      <c r="K46" s="243" t="str" cm="1">
        <f t="array" ref="K46">IFERROR(
    INDEX(Ploegen,
        J46    ) &amp; " B",
"")</f>
        <v/>
      </c>
      <c r="L46" s="231" t="str" cm="1">
        <f t="array" ref="L46">IF(K46&lt;&gt;"",
INDEX(Ploegen!$E$3:$E$27,
    J46,
0),"")</f>
        <v/>
      </c>
      <c r="M46" s="231" t="str" cm="1">
        <f t="array" ref="M46">IF(K46&lt;&gt;"",
INDEX(Ploegen!$V$3:$Y$27,
    SMALL(
        IF($I$31:$I$55=1, ROW($I$31:$I$55)-ROW($I$31)+1),
        ROW(A16)
    ),
0),"")</f>
        <v/>
      </c>
      <c r="N46" s="231"/>
      <c r="O46" s="231"/>
      <c r="P46" s="231"/>
      <c r="Q46" s="232"/>
      <c r="R46" t="str">
        <f t="shared" si="0"/>
        <v/>
      </c>
      <c r="S46" s="196" t="str">
        <f t="shared" si="1"/>
        <v/>
      </c>
    </row>
    <row r="47" spans="8:29" x14ac:dyDescent="0.2">
      <c r="H47" s="312"/>
      <c r="I47" s="243">
        <v>0</v>
      </c>
      <c r="J47" s="243" t="str" cm="1">
        <f t="array" ref="J47">IFERROR(
        SMALL(
            IF($I$31:$I$55=1, ROW($I$31:$I$55)-ROW($I$31)+1),
            ROW(A17)
        ),"")</f>
        <v/>
      </c>
      <c r="K47" s="243" t="str" cm="1">
        <f t="array" ref="K47">IFERROR(
    INDEX(Ploegen,
        J47    ) &amp; " B",
"")</f>
        <v/>
      </c>
      <c r="L47" s="231" t="str" cm="1">
        <f t="array" ref="L47">IF(K47&lt;&gt;"",
INDEX(Ploegen!$E$3:$E$27,
    J47,
0),"")</f>
        <v/>
      </c>
      <c r="M47" s="231" t="str" cm="1">
        <f t="array" ref="M47">IF(K47&lt;&gt;"",
INDEX(Ploegen!$V$3:$Y$27,
    SMALL(
        IF($I$31:$I$55=1, ROW($I$31:$I$55)-ROW($I$31)+1),
        ROW(A17)
    ),
0),"")</f>
        <v/>
      </c>
      <c r="N47" s="231"/>
      <c r="O47" s="231"/>
      <c r="P47" s="231"/>
      <c r="Q47" s="232"/>
      <c r="R47" t="str">
        <f t="shared" si="0"/>
        <v/>
      </c>
      <c r="S47" s="196" t="str">
        <f t="shared" si="1"/>
        <v/>
      </c>
    </row>
    <row r="48" spans="8:29" x14ac:dyDescent="0.2">
      <c r="H48" s="312"/>
      <c r="I48" s="243">
        <v>0</v>
      </c>
      <c r="J48" s="243" t="str" cm="1">
        <f t="array" ref="J48">IFERROR(
        SMALL(
            IF($I$31:$I$55=1, ROW($I$31:$I$55)-ROW($I$31)+1),
            ROW(A18)
        ),"")</f>
        <v/>
      </c>
      <c r="K48" s="243" t="str" cm="1">
        <f t="array" ref="K48">IFERROR(
    INDEX(Ploegen,
        J48    ) &amp; " B",
"")</f>
        <v/>
      </c>
      <c r="L48" s="231" t="str" cm="1">
        <f t="array" ref="L48">IF(K48&lt;&gt;"",
INDEX(Ploegen!$E$3:$E$27,
    J48,
0),"")</f>
        <v/>
      </c>
      <c r="M48" s="231" t="str" cm="1">
        <f t="array" ref="M48">IF(K48&lt;&gt;"",
INDEX(Ploegen!$V$3:$Y$27,
    SMALL(
        IF($I$31:$I$55=1, ROW($I$31:$I$55)-ROW($I$31)+1),
        ROW(A18)
    ),
0),"")</f>
        <v/>
      </c>
      <c r="N48" s="231"/>
      <c r="O48" s="231"/>
      <c r="P48" s="231"/>
      <c r="Q48" s="232"/>
      <c r="R48" t="str">
        <f t="shared" si="0"/>
        <v/>
      </c>
      <c r="S48" s="196" t="str">
        <f t="shared" si="1"/>
        <v/>
      </c>
    </row>
    <row r="49" spans="8:19" x14ac:dyDescent="0.2">
      <c r="H49" s="312"/>
      <c r="I49" s="243">
        <v>0</v>
      </c>
      <c r="J49" s="243" t="str" cm="1">
        <f t="array" ref="J49">IFERROR(
        SMALL(
            IF($I$31:$I$55=1, ROW($I$31:$I$55)-ROW($I$31)+1),
            ROW(A19)
        ),"")</f>
        <v/>
      </c>
      <c r="K49" s="243" t="str" cm="1">
        <f t="array" ref="K49">IFERROR(
    INDEX(Ploegen,
        J49    ) &amp; " B",
"")</f>
        <v/>
      </c>
      <c r="L49" s="231" t="str" cm="1">
        <f t="array" ref="L49">IF(K49&lt;&gt;"",
INDEX(Ploegen!$E$3:$E$27,
    J49,
0),"")</f>
        <v/>
      </c>
      <c r="M49" s="231" t="str" cm="1">
        <f t="array" ref="M49">IF(K49&lt;&gt;"",
INDEX(Ploegen!$V$3:$Y$27,
    SMALL(
        IF($I$31:$I$55=1, ROW($I$31:$I$55)-ROW($I$31)+1),
        ROW(A19)
    ),
0),"")</f>
        <v/>
      </c>
      <c r="N49" s="231"/>
      <c r="O49" s="231"/>
      <c r="P49" s="231"/>
      <c r="Q49" s="232"/>
      <c r="R49" t="str">
        <f t="shared" si="0"/>
        <v/>
      </c>
      <c r="S49" s="196" t="str">
        <f t="shared" si="1"/>
        <v/>
      </c>
    </row>
    <row r="50" spans="8:19" x14ac:dyDescent="0.2">
      <c r="H50" s="312"/>
      <c r="I50" s="243">
        <v>0</v>
      </c>
      <c r="J50" s="243" t="str" cm="1">
        <f t="array" ref="J50">IFERROR(
        SMALL(
            IF($I$31:$I$55=1, ROW($I$31:$I$55)-ROW($I$31)+1),
            ROW(A20)
        ),"")</f>
        <v/>
      </c>
      <c r="K50" s="243" t="str" cm="1">
        <f t="array" ref="K50">IFERROR(
    INDEX(Ploegen,
        J50    ) &amp; " B",
"")</f>
        <v/>
      </c>
      <c r="L50" s="231" t="str" cm="1">
        <f t="array" ref="L50">IF(K50&lt;&gt;"",
INDEX(Ploegen!$E$3:$E$27,
    J50,
0),"")</f>
        <v/>
      </c>
      <c r="M50" s="231" t="str" cm="1">
        <f t="array" ref="M50">IF(K50&lt;&gt;"",
INDEX(Ploegen!$V$3:$Y$27,
    SMALL(
        IF($I$31:$I$55=1, ROW($I$31:$I$55)-ROW($I$31)+1),
        ROW(A20)
    ),
0),"")</f>
        <v/>
      </c>
      <c r="N50" s="231"/>
      <c r="O50" s="231"/>
      <c r="P50" s="231"/>
      <c r="Q50" s="232"/>
      <c r="R50" t="str">
        <f t="shared" si="0"/>
        <v/>
      </c>
      <c r="S50" s="196" t="str">
        <f t="shared" si="1"/>
        <v/>
      </c>
    </row>
    <row r="51" spans="8:19" x14ac:dyDescent="0.2">
      <c r="H51" s="312"/>
      <c r="I51" s="243">
        <v>0</v>
      </c>
      <c r="J51" s="243" t="str" cm="1">
        <f t="array" ref="J51">IFERROR(
        SMALL(
            IF($I$31:$I$55=1, ROW($I$31:$I$55)-ROW($I$31)+1),
            ROW(A21)
        ),"")</f>
        <v/>
      </c>
      <c r="K51" s="243" t="str" cm="1">
        <f t="array" ref="K51">IFERROR(
    INDEX(Ploegen,
        J51    ) &amp; " B",
"")</f>
        <v/>
      </c>
      <c r="L51" s="231" t="str" cm="1">
        <f t="array" ref="L51">IF(K51&lt;&gt;"",
INDEX(Ploegen!$E$3:$E$27,
    J51,
0),"")</f>
        <v/>
      </c>
      <c r="M51" s="231" t="str" cm="1">
        <f t="array" ref="M51">IF(K51&lt;&gt;"",
INDEX(Ploegen!$V$3:$Y$27,
    SMALL(
        IF($I$31:$I$55=1, ROW($I$31:$I$55)-ROW($I$31)+1),
        ROW(A21)
    ),
0),"")</f>
        <v/>
      </c>
      <c r="N51" s="231"/>
      <c r="O51" s="231"/>
      <c r="P51" s="231"/>
      <c r="Q51" s="232"/>
      <c r="R51" t="str">
        <f t="shared" si="0"/>
        <v/>
      </c>
      <c r="S51" s="196" t="str">
        <f t="shared" si="1"/>
        <v/>
      </c>
    </row>
    <row r="52" spans="8:19" x14ac:dyDescent="0.2">
      <c r="H52" s="312"/>
      <c r="I52" s="243">
        <v>0</v>
      </c>
      <c r="J52" s="243" t="str" cm="1">
        <f t="array" ref="J52">IFERROR(
        SMALL(
            IF($I$31:$I$55=1, ROW($I$31:$I$55)-ROW($I$31)+1),
            ROW(A22)
        ),"")</f>
        <v/>
      </c>
      <c r="K52" s="243" t="str" cm="1">
        <f t="array" ref="K52">IFERROR(
    INDEX(Ploegen,
        J52    ) &amp; " B",
"")</f>
        <v/>
      </c>
      <c r="L52" s="231" t="str" cm="1">
        <f t="array" ref="L52">IF(K52&lt;&gt;"",
INDEX(Ploegen!$E$3:$E$27,
    J52,
0),"")</f>
        <v/>
      </c>
      <c r="M52" s="231" t="str" cm="1">
        <f t="array" ref="M52">IF(K52&lt;&gt;"",
INDEX(Ploegen!$V$3:$Y$27,
    SMALL(
        IF($I$31:$I$55=1, ROW($I$31:$I$55)-ROW($I$31)+1),
        ROW(A22)
    ),
0),"")</f>
        <v/>
      </c>
      <c r="N52" s="231"/>
      <c r="O52" s="231"/>
      <c r="P52" s="231"/>
      <c r="Q52" s="232"/>
      <c r="R52" t="str">
        <f t="shared" si="0"/>
        <v/>
      </c>
      <c r="S52" s="196" t="str">
        <f t="shared" si="1"/>
        <v/>
      </c>
    </row>
    <row r="53" spans="8:19" x14ac:dyDescent="0.2">
      <c r="H53" s="312"/>
      <c r="I53" s="243">
        <v>0</v>
      </c>
      <c r="J53" s="243" t="str" cm="1">
        <f t="array" ref="J53">IFERROR(
        SMALL(
            IF($I$31:$I$55=1, ROW($I$31:$I$55)-ROW($I$31)+1),
            ROW(A23)
        ),"")</f>
        <v/>
      </c>
      <c r="K53" s="243" t="str" cm="1">
        <f t="array" ref="K53">IFERROR(
    INDEX(Ploegen,
        J53    ) &amp; " B",
"")</f>
        <v/>
      </c>
      <c r="L53" s="231" t="str" cm="1">
        <f t="array" ref="L53">IF(K53&lt;&gt;"",
INDEX(Ploegen!$E$3:$E$27,
    J53,
0),"")</f>
        <v/>
      </c>
      <c r="M53" s="231" t="str" cm="1">
        <f t="array" ref="M53">IF(K53&lt;&gt;"",
INDEX(Ploegen!$V$3:$Y$27,
    SMALL(
        IF($I$31:$I$55=1, ROW($I$31:$I$55)-ROW($I$31)+1),
        ROW(A23)
    ),
0),"")</f>
        <v/>
      </c>
      <c r="N53" s="231"/>
      <c r="O53" s="231"/>
      <c r="P53" s="231"/>
      <c r="Q53" s="232"/>
      <c r="R53" t="str">
        <f t="shared" si="0"/>
        <v/>
      </c>
      <c r="S53" s="196" t="str">
        <f t="shared" si="1"/>
        <v/>
      </c>
    </row>
    <row r="54" spans="8:19" x14ac:dyDescent="0.2">
      <c r="H54" s="312"/>
      <c r="I54" s="243">
        <v>0</v>
      </c>
      <c r="J54" s="243" t="str" cm="1">
        <f t="array" ref="J54">IFERROR(
        SMALL(
            IF($I$31:$I$55=1, ROW($I$31:$I$55)-ROW($I$31)+1),
            ROW(A24)
        ),"")</f>
        <v/>
      </c>
      <c r="K54" s="243" t="str" cm="1">
        <f t="array" ref="K54">IFERROR(
    INDEX(Ploegen,
        J54    ) &amp; " B",
"")</f>
        <v/>
      </c>
      <c r="L54" s="231" t="str" cm="1">
        <f t="array" ref="L54">IF(K54&lt;&gt;"",
INDEX(Ploegen!$E$3:$E$27,
    J54,
0),"")</f>
        <v/>
      </c>
      <c r="M54" s="231" t="str" cm="1">
        <f t="array" ref="M54">IF(K54&lt;&gt;"",
INDEX(Ploegen!$V$3:$Y$27,
    SMALL(
        IF($I$31:$I$55=1, ROW($I$31:$I$55)-ROW($I$31)+1),
        ROW(A24)
    ),
0),"")</f>
        <v/>
      </c>
      <c r="N54" s="231"/>
      <c r="O54" s="231"/>
      <c r="P54" s="231"/>
      <c r="Q54" s="232"/>
      <c r="R54" t="str">
        <f t="shared" si="0"/>
        <v/>
      </c>
      <c r="S54" s="196" t="str">
        <f t="shared" si="1"/>
        <v/>
      </c>
    </row>
    <row r="55" spans="8:19" ht="13.5" thickBot="1" x14ac:dyDescent="0.25">
      <c r="H55" s="313"/>
      <c r="I55" s="244">
        <v>0</v>
      </c>
      <c r="J55" s="244" t="str" cm="1">
        <f t="array" ref="J55">IFERROR(
        SMALL(
            IF($I$31:$I$55=1, ROW($I$31:$I$55)-ROW($I$31)+1),
            ROW(A25)
        ),"")</f>
        <v/>
      </c>
      <c r="K55" s="244" t="str" cm="1">
        <f t="array" ref="K55">IFERROR(
    INDEX(Ploegen,
        J55    ) &amp; " B",
"")</f>
        <v/>
      </c>
      <c r="L55" s="234" t="str" cm="1">
        <f t="array" ref="L55">IF(K55&lt;&gt;"",
INDEX(Ploegen!$E$3:$E$27,
    J55,
0),"")</f>
        <v/>
      </c>
      <c r="M55" s="234" t="str" cm="1">
        <f t="array" ref="M55">IF(K55&lt;&gt;"",
INDEX(Ploegen!$V$3:$Y$27,
    SMALL(
        IF($I$31:$I$55=1, ROW($I$31:$I$55)-ROW($I$31)+1),
        ROW(A25)
    ),
0),"")</f>
        <v/>
      </c>
      <c r="N55" s="234"/>
      <c r="O55" s="234"/>
      <c r="P55" s="234"/>
      <c r="Q55" s="235"/>
      <c r="R55" t="str">
        <f t="shared" si="0"/>
        <v/>
      </c>
      <c r="S55" s="196" t="str">
        <f t="shared" si="1"/>
        <v/>
      </c>
    </row>
    <row r="56" spans="8:19" x14ac:dyDescent="0.2">
      <c r="H56" s="311" t="s">
        <v>5</v>
      </c>
      <c r="I56" s="241" cm="1">
        <f t="array" ref="I56:I80">IFERROR((Uitslagen_C &gt;= Prijs_vanaf)*(Ploegen &lt;&gt; Stand)*(Minder_dan_6 = "")*(COUNT(Ploegen!D3:I27)&gt;2),0)</f>
        <v>0</v>
      </c>
      <c r="J56" s="241" t="str" cm="1">
        <f t="array" ref="J56">IFERROR(
        SMALL(
            IF($I$56:$I$80=1, ROW($I$56:$I$80)-ROW($I$56)+1),
            ROW(A1)
        ),"")</f>
        <v/>
      </c>
      <c r="K56" s="241" t="str" cm="1">
        <f t="array" ref="K56">IFERROR(
    INDEX(Ploegen,
        J56    ) &amp; " C",
"")</f>
        <v/>
      </c>
      <c r="L56" s="242" t="str" cm="1">
        <f t="array" ref="L56">IF(K56&lt;&gt;"",
INDEX(Ploegen!$F$3:$F$27,
    J56,
0),"")</f>
        <v/>
      </c>
      <c r="M56" s="242" t="str" cm="1">
        <f t="array" ref="M56">IF(K56&lt;&gt;"",
INDEX(Ploegen!$Z$3:$AC$27,
    J56,
0),"")</f>
        <v/>
      </c>
      <c r="N56" s="242"/>
      <c r="O56" s="242"/>
      <c r="P56" s="242"/>
      <c r="Q56" s="229"/>
      <c r="R56" t="str">
        <f t="shared" si="0"/>
        <v/>
      </c>
      <c r="S56" s="196" t="str">
        <f t="shared" si="1"/>
        <v/>
      </c>
    </row>
    <row r="57" spans="8:19" x14ac:dyDescent="0.2">
      <c r="H57" s="312"/>
      <c r="I57" s="243">
        <v>0</v>
      </c>
      <c r="J57" s="243" t="str" cm="1">
        <f t="array" ref="J57">IFERROR(
        SMALL(
            IF($I$56:$I$80=1, ROW($I$56:$I$80)-ROW($I$56)+1),
            ROW(A2)
        ),"")</f>
        <v/>
      </c>
      <c r="K57" s="243" t="str" cm="1">
        <f t="array" ref="K57">IFERROR(
    INDEX(Ploegen,
        J57    ) &amp; " C",
"")</f>
        <v/>
      </c>
      <c r="L57" s="231" t="str" cm="1">
        <f t="array" ref="L57">IF(K57&lt;&gt;"",
INDEX(Ploegen!$F$3:$F$27,
    J57,
0),"")</f>
        <v/>
      </c>
      <c r="M57" s="231" t="str" cm="1">
        <f t="array" ref="M57">IF(K57&lt;&gt;"",
INDEX(Ploegen!$Z$3:$AC$27,
    J57,
0),"")</f>
        <v/>
      </c>
      <c r="N57" s="231"/>
      <c r="O57" s="231"/>
      <c r="P57" s="231"/>
      <c r="Q57" s="232"/>
      <c r="R57" t="str">
        <f t="shared" si="0"/>
        <v/>
      </c>
      <c r="S57" s="196" t="str">
        <f t="shared" si="1"/>
        <v/>
      </c>
    </row>
    <row r="58" spans="8:19" x14ac:dyDescent="0.2">
      <c r="H58" s="312"/>
      <c r="I58" s="243">
        <v>0</v>
      </c>
      <c r="J58" s="243" t="str" cm="1">
        <f t="array" ref="J58">IFERROR(
        SMALL(
            IF($I$56:$I$80=1, ROW($I$56:$I$80)-ROW($I$56)+1),
            ROW(A3)
        ),"")</f>
        <v/>
      </c>
      <c r="K58" s="243" t="str" cm="1">
        <f t="array" ref="K58">IFERROR(
    INDEX(Ploegen,
        J58    ) &amp; " C",
"")</f>
        <v/>
      </c>
      <c r="L58" s="231" t="str" cm="1">
        <f t="array" ref="L58">IF(K58&lt;&gt;"",
INDEX(Ploegen!$F$3:$F$27,
    J58,
0),"")</f>
        <v/>
      </c>
      <c r="M58" s="231" t="str" cm="1">
        <f t="array" ref="M58">IF(K58&lt;&gt;"",
INDEX(Ploegen!$Z$3:$AC$27,
    J58,
0),"")</f>
        <v/>
      </c>
      <c r="N58" s="231"/>
      <c r="O58" s="231"/>
      <c r="P58" s="231"/>
      <c r="Q58" s="232"/>
      <c r="R58" t="str">
        <f t="shared" si="0"/>
        <v/>
      </c>
      <c r="S58" s="196" t="str">
        <f t="shared" si="1"/>
        <v/>
      </c>
    </row>
    <row r="59" spans="8:19" x14ac:dyDescent="0.2">
      <c r="H59" s="312"/>
      <c r="I59" s="243">
        <v>0</v>
      </c>
      <c r="J59" s="243" t="str" cm="1">
        <f t="array" ref="J59">IFERROR(
        SMALL(
            IF($I$56:$I$80=1, ROW($I$56:$I$80)-ROW($I$56)+1),
            ROW(A4)
        ),"")</f>
        <v/>
      </c>
      <c r="K59" s="243" t="str" cm="1">
        <f t="array" ref="K59">IFERROR(
    INDEX(Ploegen,
        J59    ) &amp; " C",
"")</f>
        <v/>
      </c>
      <c r="L59" s="231" t="str" cm="1">
        <f t="array" ref="L59">IF(K59&lt;&gt;"",
INDEX(Ploegen!$F$3:$F$27,
    J59,
0),"")</f>
        <v/>
      </c>
      <c r="M59" s="231" t="str" cm="1">
        <f t="array" ref="M59">IF(K59&lt;&gt;"",
INDEX(Ploegen!$Z$3:$AC$27,
    J59,
0),"")</f>
        <v/>
      </c>
      <c r="N59" s="231"/>
      <c r="O59" s="231"/>
      <c r="P59" s="231"/>
      <c r="Q59" s="232"/>
      <c r="R59" t="str">
        <f t="shared" si="0"/>
        <v/>
      </c>
      <c r="S59" s="196" t="str">
        <f t="shared" si="1"/>
        <v/>
      </c>
    </row>
    <row r="60" spans="8:19" x14ac:dyDescent="0.2">
      <c r="H60" s="312"/>
      <c r="I60" s="243">
        <v>0</v>
      </c>
      <c r="J60" s="243" t="str" cm="1">
        <f t="array" ref="J60">IFERROR(
        SMALL(
            IF($I$56:$I$80=1, ROW($I$56:$I$80)-ROW($I$56)+1),
            ROW(A5)
        ),"")</f>
        <v/>
      </c>
      <c r="K60" s="243" t="str" cm="1">
        <f t="array" ref="K60">IFERROR(
    INDEX(Ploegen,
        J60    ) &amp; " C",
"")</f>
        <v/>
      </c>
      <c r="L60" s="231" t="str" cm="1">
        <f t="array" ref="L60">IF(K60&lt;&gt;"",
INDEX(Ploegen!$F$3:$F$27,
    J60,
0),"")</f>
        <v/>
      </c>
      <c r="M60" s="231" t="str" cm="1">
        <f t="array" ref="M60">IF(K60&lt;&gt;"",
INDEX(Ploegen!$Z$3:$AC$27,
    J60,
0),"")</f>
        <v/>
      </c>
      <c r="N60" s="231"/>
      <c r="O60" s="231"/>
      <c r="P60" s="231"/>
      <c r="Q60" s="232"/>
      <c r="R60" t="str">
        <f t="shared" si="0"/>
        <v/>
      </c>
      <c r="S60" s="196" t="str">
        <f t="shared" si="1"/>
        <v/>
      </c>
    </row>
    <row r="61" spans="8:19" x14ac:dyDescent="0.2">
      <c r="H61" s="312"/>
      <c r="I61" s="243">
        <v>0</v>
      </c>
      <c r="J61" s="243" t="str" cm="1">
        <f t="array" ref="J61">IFERROR(
        SMALL(
            IF($I$56:$I$80=1, ROW($I$56:$I$80)-ROW($I$56)+1),
            ROW(A6)
        ),"")</f>
        <v/>
      </c>
      <c r="K61" s="243" t="str" cm="1">
        <f t="array" ref="K61">IFERROR(
    INDEX(Ploegen,
        J61    ) &amp; " C",
"")</f>
        <v/>
      </c>
      <c r="L61" s="231" t="str" cm="1">
        <f t="array" ref="L61">IF(K61&lt;&gt;"",
INDEX(Ploegen!$F$3:$F$27,
    J61,
0),"")</f>
        <v/>
      </c>
      <c r="M61" s="231" t="str" cm="1">
        <f t="array" ref="M61">IF(K61&lt;&gt;"",
INDEX(Ploegen!$Z$3:$AC$27,
    J61,
0),"")</f>
        <v/>
      </c>
      <c r="N61" s="231"/>
      <c r="O61" s="231"/>
      <c r="P61" s="231"/>
      <c r="Q61" s="232"/>
      <c r="R61" t="str">
        <f t="shared" si="0"/>
        <v/>
      </c>
      <c r="S61" s="196" t="str">
        <f t="shared" si="1"/>
        <v/>
      </c>
    </row>
    <row r="62" spans="8:19" x14ac:dyDescent="0.2">
      <c r="H62" s="312"/>
      <c r="I62" s="243">
        <v>0</v>
      </c>
      <c r="J62" s="243" t="str" cm="1">
        <f t="array" ref="J62">IFERROR(
        SMALL(
            IF($I$56:$I$80=1, ROW($I$56:$I$80)-ROW($I$56)+1),
            ROW(A7)
        ),"")</f>
        <v/>
      </c>
      <c r="K62" s="243" t="str" cm="1">
        <f t="array" ref="K62">IFERROR(
    INDEX(Ploegen,
        J62    ) &amp; " C",
"")</f>
        <v/>
      </c>
      <c r="L62" s="231" t="str" cm="1">
        <f t="array" ref="L62">IF(K62&lt;&gt;"",
INDEX(Ploegen!$F$3:$F$27,
    J62,
0),"")</f>
        <v/>
      </c>
      <c r="M62" s="231" t="str" cm="1">
        <f t="array" ref="M62">IF(K62&lt;&gt;"",
INDEX(Ploegen!$Z$3:$AC$27,
    J62,
0),"")</f>
        <v/>
      </c>
      <c r="N62" s="231"/>
      <c r="O62" s="231"/>
      <c r="P62" s="231"/>
      <c r="Q62" s="232"/>
      <c r="R62" t="str">
        <f t="shared" si="0"/>
        <v/>
      </c>
      <c r="S62" s="196" t="str">
        <f t="shared" si="1"/>
        <v/>
      </c>
    </row>
    <row r="63" spans="8:19" x14ac:dyDescent="0.2">
      <c r="H63" s="312"/>
      <c r="I63" s="243">
        <v>0</v>
      </c>
      <c r="J63" s="243" t="str" cm="1">
        <f t="array" ref="J63">IFERROR(
        SMALL(
            IF($I$56:$I$80=1, ROW($I$56:$I$80)-ROW($I$56)+1),
            ROW(A8)
        ),"")</f>
        <v/>
      </c>
      <c r="K63" s="243" t="str" cm="1">
        <f t="array" ref="K63">IFERROR(
    INDEX(Ploegen,
        J63    ) &amp; " C",
"")</f>
        <v/>
      </c>
      <c r="L63" s="231" t="str" cm="1">
        <f t="array" ref="L63">IF(K63&lt;&gt;"",
INDEX(Ploegen!$F$3:$F$27,
    J63,
0),"")</f>
        <v/>
      </c>
      <c r="M63" s="231" t="str" cm="1">
        <f t="array" ref="M63">IF(K63&lt;&gt;"",
INDEX(Ploegen!$Z$3:$AC$27,
    J63,
0),"")</f>
        <v/>
      </c>
      <c r="N63" s="231"/>
      <c r="O63" s="231"/>
      <c r="P63" s="231"/>
      <c r="Q63" s="232"/>
      <c r="R63" t="str">
        <f t="shared" si="0"/>
        <v/>
      </c>
      <c r="S63" s="196" t="str">
        <f t="shared" si="1"/>
        <v/>
      </c>
    </row>
    <row r="64" spans="8:19" x14ac:dyDescent="0.2">
      <c r="H64" s="312"/>
      <c r="I64" s="243">
        <v>0</v>
      </c>
      <c r="J64" s="243" t="str" cm="1">
        <f t="array" ref="J64">IFERROR(
        SMALL(
            IF($I$56:$I$80=1, ROW($I$56:$I$80)-ROW($I$56)+1),
            ROW(A9)
        ),"")</f>
        <v/>
      </c>
      <c r="K64" s="243" t="str" cm="1">
        <f t="array" ref="K64">IFERROR(
    INDEX(Ploegen,
        J64    ) &amp; " C",
"")</f>
        <v/>
      </c>
      <c r="L64" s="231" t="str" cm="1">
        <f t="array" ref="L64">IF(K64&lt;&gt;"",
INDEX(Ploegen!$F$3:$F$27,
    J64,
0),"")</f>
        <v/>
      </c>
      <c r="M64" s="231" t="str" cm="1">
        <f t="array" ref="M64">IF(K64&lt;&gt;"",
INDEX(Ploegen!$Z$3:$AC$27,
    J64,
0),"")</f>
        <v/>
      </c>
      <c r="N64" s="231"/>
      <c r="O64" s="231"/>
      <c r="P64" s="231"/>
      <c r="Q64" s="232"/>
      <c r="R64" t="str">
        <f t="shared" si="0"/>
        <v/>
      </c>
      <c r="S64" s="196" t="str">
        <f t="shared" si="1"/>
        <v/>
      </c>
    </row>
    <row r="65" spans="8:19" x14ac:dyDescent="0.2">
      <c r="H65" s="312"/>
      <c r="I65" s="243">
        <v>0</v>
      </c>
      <c r="J65" s="243" t="str" cm="1">
        <f t="array" ref="J65">IFERROR(
        SMALL(
            IF($I$56:$I$80=1, ROW($I$56:$I$80)-ROW($I$56)+1),
            ROW(A10)
        ),"")</f>
        <v/>
      </c>
      <c r="K65" s="243" t="str" cm="1">
        <f t="array" ref="K65">IFERROR(
    INDEX(Ploegen,
        J65    ) &amp; " C",
"")</f>
        <v/>
      </c>
      <c r="L65" s="231" t="str" cm="1">
        <f t="array" ref="L65">IF(K65&lt;&gt;"",
INDEX(Ploegen!$F$3:$F$27,
    J65,
0),"")</f>
        <v/>
      </c>
      <c r="M65" s="231" t="str" cm="1">
        <f t="array" ref="M65">IF(K65&lt;&gt;"",
INDEX(Ploegen!$Z$3:$AC$27,
    J65,
0),"")</f>
        <v/>
      </c>
      <c r="N65" s="231"/>
      <c r="O65" s="231"/>
      <c r="P65" s="231"/>
      <c r="Q65" s="232"/>
      <c r="R65" t="str">
        <f t="shared" si="0"/>
        <v/>
      </c>
      <c r="S65" s="196" t="str">
        <f t="shared" si="1"/>
        <v/>
      </c>
    </row>
    <row r="66" spans="8:19" x14ac:dyDescent="0.2">
      <c r="H66" s="312"/>
      <c r="I66" s="243">
        <v>0</v>
      </c>
      <c r="J66" s="243" t="str" cm="1">
        <f t="array" ref="J66">IFERROR(
        SMALL(
            IF($I$56:$I$80=1, ROW($I$56:$I$80)-ROW($I$56)+1),
            ROW(A11)
        ),"")</f>
        <v/>
      </c>
      <c r="K66" s="243" t="str" cm="1">
        <f t="array" ref="K66">IFERROR(
    INDEX(Ploegen,
        J66    ) &amp; " C",
"")</f>
        <v/>
      </c>
      <c r="L66" s="231" t="str" cm="1">
        <f t="array" ref="L66">IF(K66&lt;&gt;"",
INDEX(Ploegen!$F$3:$F$27,
    J66,
0),"")</f>
        <v/>
      </c>
      <c r="M66" s="231" t="str" cm="1">
        <f t="array" ref="M66">IF(K66&lt;&gt;"",
INDEX(Ploegen!$Z$3:$AC$27,
    J66,
0),"")</f>
        <v/>
      </c>
      <c r="N66" s="231"/>
      <c r="O66" s="231"/>
      <c r="P66" s="231"/>
      <c r="Q66" s="232"/>
      <c r="R66" t="str">
        <f t="shared" si="0"/>
        <v/>
      </c>
      <c r="S66" s="196" t="str">
        <f t="shared" si="1"/>
        <v/>
      </c>
    </row>
    <row r="67" spans="8:19" x14ac:dyDescent="0.2">
      <c r="H67" s="312"/>
      <c r="I67" s="243">
        <v>0</v>
      </c>
      <c r="J67" s="243" t="str" cm="1">
        <f t="array" ref="J67">IFERROR(
        SMALL(
            IF($I$56:$I$80=1, ROW($I$56:$I$80)-ROW($I$56)+1),
            ROW(A12)
        ),"")</f>
        <v/>
      </c>
      <c r="K67" s="243" t="str" cm="1">
        <f t="array" ref="K67">IFERROR(
    INDEX(Ploegen,
        J67    ) &amp; " C",
"")</f>
        <v/>
      </c>
      <c r="L67" s="231" t="str" cm="1">
        <f t="array" ref="L67">IF(K67&lt;&gt;"",
INDEX(Ploegen!$F$3:$F$27,
    J67,
0),"")</f>
        <v/>
      </c>
      <c r="M67" s="231" t="str" cm="1">
        <f t="array" ref="M67">IF(K67&lt;&gt;"",
INDEX(Ploegen!$Z$3:$AC$27,
    J67,
0),"")</f>
        <v/>
      </c>
      <c r="N67" s="231"/>
      <c r="O67" s="231"/>
      <c r="P67" s="231"/>
      <c r="Q67" s="232"/>
      <c r="R67" t="str">
        <f t="shared" si="0"/>
        <v/>
      </c>
      <c r="S67" s="196" t="str">
        <f t="shared" si="1"/>
        <v/>
      </c>
    </row>
    <row r="68" spans="8:19" x14ac:dyDescent="0.2">
      <c r="H68" s="312"/>
      <c r="I68" s="243">
        <v>0</v>
      </c>
      <c r="J68" s="243" t="str" cm="1">
        <f t="array" ref="J68">IFERROR(
        SMALL(
            IF($I$56:$I$80=1, ROW($I$56:$I$80)-ROW($I$56)+1),
            ROW(A13)
        ),"")</f>
        <v/>
      </c>
      <c r="K68" s="243" t="str" cm="1">
        <f t="array" ref="K68">IFERROR(
    INDEX(Ploegen,
        J68    ) &amp; " C",
"")</f>
        <v/>
      </c>
      <c r="L68" s="231" t="str" cm="1">
        <f t="array" ref="L68">IF(K68&lt;&gt;"",
INDEX(Ploegen!$F$3:$F$27,
    J68,
0),"")</f>
        <v/>
      </c>
      <c r="M68" s="231" t="str" cm="1">
        <f t="array" ref="M68">IF(K68&lt;&gt;"",
INDEX(Ploegen!$Z$3:$AC$27,
    J68,
0),"")</f>
        <v/>
      </c>
      <c r="N68" s="231"/>
      <c r="O68" s="231"/>
      <c r="P68" s="231"/>
      <c r="Q68" s="232"/>
      <c r="R68" t="str">
        <f t="shared" si="0"/>
        <v/>
      </c>
      <c r="S68" s="196" t="str">
        <f t="shared" si="1"/>
        <v/>
      </c>
    </row>
    <row r="69" spans="8:19" x14ac:dyDescent="0.2">
      <c r="H69" s="312"/>
      <c r="I69" s="243">
        <v>0</v>
      </c>
      <c r="J69" s="243" t="str" cm="1">
        <f t="array" ref="J69">IFERROR(
        SMALL(
            IF($I$56:$I$80=1, ROW($I$56:$I$80)-ROW($I$56)+1),
            ROW(A14)
        ),"")</f>
        <v/>
      </c>
      <c r="K69" s="243" t="str" cm="1">
        <f t="array" ref="K69">IFERROR(
    INDEX(Ploegen,
        J69    ) &amp; " C",
"")</f>
        <v/>
      </c>
      <c r="L69" s="231" t="str" cm="1">
        <f t="array" ref="L69">IF(K69&lt;&gt;"",
INDEX(Ploegen!$F$3:$F$27,
    J69,
0),"")</f>
        <v/>
      </c>
      <c r="M69" s="231" t="str" cm="1">
        <f t="array" ref="M69">IF(K69&lt;&gt;"",
INDEX(Ploegen!$Z$3:$AC$27,
    J69,
0),"")</f>
        <v/>
      </c>
      <c r="N69" s="231"/>
      <c r="O69" s="231"/>
      <c r="P69" s="231"/>
      <c r="Q69" s="232"/>
      <c r="R69" t="str">
        <f t="shared" si="0"/>
        <v/>
      </c>
      <c r="S69" s="196" t="str">
        <f t="shared" si="1"/>
        <v/>
      </c>
    </row>
    <row r="70" spans="8:19" x14ac:dyDescent="0.2">
      <c r="H70" s="312"/>
      <c r="I70" s="243">
        <v>0</v>
      </c>
      <c r="J70" s="243" t="str" cm="1">
        <f t="array" ref="J70">IFERROR(
        SMALL(
            IF($I$56:$I$80=1, ROW($I$56:$I$80)-ROW($I$56)+1),
            ROW(A15)
        ),"")</f>
        <v/>
      </c>
      <c r="K70" s="243" t="str" cm="1">
        <f t="array" ref="K70">IFERROR(
    INDEX(Ploegen,
        J70    ) &amp; " C",
"")</f>
        <v/>
      </c>
      <c r="L70" s="231" t="str" cm="1">
        <f t="array" ref="L70">IF(K70&lt;&gt;"",
INDEX(Ploegen!$F$3:$F$27,
    J70,
0),"")</f>
        <v/>
      </c>
      <c r="M70" s="231" t="str" cm="1">
        <f t="array" ref="M70">IF(K70&lt;&gt;"",
INDEX(Ploegen!$Z$3:$AC$27,
    J70,
0),"")</f>
        <v/>
      </c>
      <c r="N70" s="231"/>
      <c r="O70" s="231"/>
      <c r="P70" s="231"/>
      <c r="Q70" s="232"/>
      <c r="R70" t="str">
        <f t="shared" si="0"/>
        <v/>
      </c>
      <c r="S70" s="196" t="str">
        <f t="shared" si="1"/>
        <v/>
      </c>
    </row>
    <row r="71" spans="8:19" x14ac:dyDescent="0.2">
      <c r="H71" s="312"/>
      <c r="I71" s="243">
        <v>0</v>
      </c>
      <c r="J71" s="243" t="str" cm="1">
        <f t="array" ref="J71">IFERROR(
        SMALL(
            IF($I$56:$I$80=1, ROW($I$56:$I$80)-ROW($I$56)+1),
            ROW(A16)
        ),"")</f>
        <v/>
      </c>
      <c r="K71" s="243" t="str" cm="1">
        <f t="array" ref="K71">IFERROR(
    INDEX(Ploegen,
        J71    ) &amp; " C",
"")</f>
        <v/>
      </c>
      <c r="L71" s="231" t="str" cm="1">
        <f t="array" ref="L71">IF(K71&lt;&gt;"",
INDEX(Ploegen!$F$3:$F$27,
    J71,
0),"")</f>
        <v/>
      </c>
      <c r="M71" s="231" t="str" cm="1">
        <f t="array" ref="M71">IF(K71&lt;&gt;"",
INDEX(Ploegen!$Z$3:$AC$27,
    J71,
0),"")</f>
        <v/>
      </c>
      <c r="N71" s="231"/>
      <c r="O71" s="231"/>
      <c r="P71" s="231"/>
      <c r="Q71" s="232"/>
      <c r="R71" t="str">
        <f t="shared" ref="R71:R134" si="3">IF(K71="","",IFERROR(L71*10^10 + M71*10^8 + N71*10^6 + O71*10^4 + P71*10^2 + Q71,0))</f>
        <v/>
      </c>
      <c r="S71" s="196" t="str">
        <f t="shared" ref="S71:S134" si="4">IF(K71="","",IFERROR(R71 + ROW()/100,0))</f>
        <v/>
      </c>
    </row>
    <row r="72" spans="8:19" x14ac:dyDescent="0.2">
      <c r="H72" s="312"/>
      <c r="I72" s="243">
        <v>0</v>
      </c>
      <c r="J72" s="243" t="str" cm="1">
        <f t="array" ref="J72">IFERROR(
        SMALL(
            IF($I$56:$I$80=1, ROW($I$56:$I$80)-ROW($I$56)+1),
            ROW(A17)
        ),"")</f>
        <v/>
      </c>
      <c r="K72" s="243" t="str" cm="1">
        <f t="array" ref="K72">IFERROR(
    INDEX(Ploegen,
        J72    ) &amp; " C",
"")</f>
        <v/>
      </c>
      <c r="L72" s="231" t="str" cm="1">
        <f t="array" ref="L72">IF(K72&lt;&gt;"",
INDEX(Ploegen!$F$3:$F$27,
    J72,
0),"")</f>
        <v/>
      </c>
      <c r="M72" s="231" t="str" cm="1">
        <f t="array" ref="M72">IF(K72&lt;&gt;"",
INDEX(Ploegen!$Z$3:$AC$27,
    J72,
0),"")</f>
        <v/>
      </c>
      <c r="N72" s="231"/>
      <c r="O72" s="231"/>
      <c r="P72" s="231"/>
      <c r="Q72" s="232"/>
      <c r="R72" t="str">
        <f t="shared" si="3"/>
        <v/>
      </c>
      <c r="S72" s="196" t="str">
        <f t="shared" si="4"/>
        <v/>
      </c>
    </row>
    <row r="73" spans="8:19" x14ac:dyDescent="0.2">
      <c r="H73" s="312"/>
      <c r="I73" s="243">
        <v>0</v>
      </c>
      <c r="J73" s="243" t="str" cm="1">
        <f t="array" ref="J73">IFERROR(
        SMALL(
            IF($I$56:$I$80=1, ROW($I$56:$I$80)-ROW($I$56)+1),
            ROW(A18)
        ),"")</f>
        <v/>
      </c>
      <c r="K73" s="243" t="str" cm="1">
        <f t="array" ref="K73">IFERROR(
    INDEX(Ploegen,
        J73    ) &amp; " C",
"")</f>
        <v/>
      </c>
      <c r="L73" s="231" t="str" cm="1">
        <f t="array" ref="L73">IF(K73&lt;&gt;"",
INDEX(Ploegen!$F$3:$F$27,
    J73,
0),"")</f>
        <v/>
      </c>
      <c r="M73" s="231" t="str" cm="1">
        <f t="array" ref="M73">IF(K73&lt;&gt;"",
INDEX(Ploegen!$Z$3:$AC$27,
    J73,
0),"")</f>
        <v/>
      </c>
      <c r="N73" s="231"/>
      <c r="O73" s="231"/>
      <c r="P73" s="231"/>
      <c r="Q73" s="232"/>
      <c r="R73" t="str">
        <f t="shared" si="3"/>
        <v/>
      </c>
      <c r="S73" s="196" t="str">
        <f t="shared" si="4"/>
        <v/>
      </c>
    </row>
    <row r="74" spans="8:19" x14ac:dyDescent="0.2">
      <c r="H74" s="312"/>
      <c r="I74" s="243">
        <v>0</v>
      </c>
      <c r="J74" s="243" t="str" cm="1">
        <f t="array" ref="J74">IFERROR(
        SMALL(
            IF($I$56:$I$80=1, ROW($I$56:$I$80)-ROW($I$56)+1),
            ROW(A19)
        ),"")</f>
        <v/>
      </c>
      <c r="K74" s="243" t="str" cm="1">
        <f t="array" ref="K74">IFERROR(
    INDEX(Ploegen,
        J74    ) &amp; " C",
"")</f>
        <v/>
      </c>
      <c r="L74" s="231" t="str" cm="1">
        <f t="array" ref="L74">IF(K74&lt;&gt;"",
INDEX(Ploegen!$F$3:$F$27,
    J74,
0),"")</f>
        <v/>
      </c>
      <c r="M74" s="231" t="str" cm="1">
        <f t="array" ref="M74">IF(K74&lt;&gt;"",
INDEX(Ploegen!$Z$3:$AC$27,
    J74,
0),"")</f>
        <v/>
      </c>
      <c r="N74" s="231"/>
      <c r="O74" s="231"/>
      <c r="P74" s="231"/>
      <c r="Q74" s="232"/>
      <c r="R74" t="str">
        <f t="shared" si="3"/>
        <v/>
      </c>
      <c r="S74" s="196" t="str">
        <f t="shared" si="4"/>
        <v/>
      </c>
    </row>
    <row r="75" spans="8:19" x14ac:dyDescent="0.2">
      <c r="H75" s="312"/>
      <c r="I75" s="243">
        <v>0</v>
      </c>
      <c r="J75" s="243" t="str" cm="1">
        <f t="array" ref="J75">IFERROR(
        SMALL(
            IF($I$56:$I$80=1, ROW($I$56:$I$80)-ROW($I$56)+1),
            ROW(A20)
        ),"")</f>
        <v/>
      </c>
      <c r="K75" s="243" t="str" cm="1">
        <f t="array" ref="K75">IFERROR(
    INDEX(Ploegen,
        J75    ) &amp; " C",
"")</f>
        <v/>
      </c>
      <c r="L75" s="231" t="str" cm="1">
        <f t="array" ref="L75">IF(K75&lt;&gt;"",
INDEX(Ploegen!$F$3:$F$27,
    J75,
0),"")</f>
        <v/>
      </c>
      <c r="M75" s="231" t="str" cm="1">
        <f t="array" ref="M75">IF(K75&lt;&gt;"",
INDEX(Ploegen!$Z$3:$AC$27,
    J75,
0),"")</f>
        <v/>
      </c>
      <c r="N75" s="231"/>
      <c r="O75" s="231"/>
      <c r="P75" s="231"/>
      <c r="Q75" s="232"/>
      <c r="R75" t="str">
        <f t="shared" si="3"/>
        <v/>
      </c>
      <c r="S75" s="196" t="str">
        <f t="shared" si="4"/>
        <v/>
      </c>
    </row>
    <row r="76" spans="8:19" x14ac:dyDescent="0.2">
      <c r="H76" s="312"/>
      <c r="I76" s="243">
        <v>0</v>
      </c>
      <c r="J76" s="243" t="str" cm="1">
        <f t="array" ref="J76">IFERROR(
        SMALL(
            IF($I$56:$I$80=1, ROW($I$56:$I$80)-ROW($I$56)+1),
            ROW(A21)
        ),"")</f>
        <v/>
      </c>
      <c r="K76" s="243" t="str" cm="1">
        <f t="array" ref="K76">IFERROR(
    INDEX(Ploegen,
        J76    ) &amp; " C",
"")</f>
        <v/>
      </c>
      <c r="L76" s="231" t="str" cm="1">
        <f t="array" ref="L76">IF(K76&lt;&gt;"",
INDEX(Ploegen!$F$3:$F$27,
    J76,
0),"")</f>
        <v/>
      </c>
      <c r="M76" s="231" t="str" cm="1">
        <f t="array" ref="M76">IF(K76&lt;&gt;"",
INDEX(Ploegen!$Z$3:$AC$27,
    J76,
0),"")</f>
        <v/>
      </c>
      <c r="N76" s="231"/>
      <c r="O76" s="231"/>
      <c r="P76" s="231"/>
      <c r="Q76" s="232"/>
      <c r="R76" t="str">
        <f t="shared" si="3"/>
        <v/>
      </c>
      <c r="S76" s="196" t="str">
        <f t="shared" si="4"/>
        <v/>
      </c>
    </row>
    <row r="77" spans="8:19" x14ac:dyDescent="0.2">
      <c r="H77" s="312"/>
      <c r="I77" s="243">
        <v>0</v>
      </c>
      <c r="J77" s="243" t="str" cm="1">
        <f t="array" ref="J77">IFERROR(
        SMALL(
            IF($I$56:$I$80=1, ROW($I$56:$I$80)-ROW($I$56)+1),
            ROW(A22)
        ),"")</f>
        <v/>
      </c>
      <c r="K77" s="243" t="str" cm="1">
        <f t="array" ref="K77">IFERROR(
    INDEX(Ploegen,
        J77    ) &amp; " C",
"")</f>
        <v/>
      </c>
      <c r="L77" s="231" t="str" cm="1">
        <f t="array" ref="L77">IF(K77&lt;&gt;"",
INDEX(Ploegen!$F$3:$F$27,
    J77,
0),"")</f>
        <v/>
      </c>
      <c r="M77" s="231" t="str" cm="1">
        <f t="array" ref="M77">IF(K77&lt;&gt;"",
INDEX(Ploegen!$Z$3:$AC$27,
    J77,
0),"")</f>
        <v/>
      </c>
      <c r="N77" s="231"/>
      <c r="O77" s="231"/>
      <c r="P77" s="231"/>
      <c r="Q77" s="232"/>
      <c r="R77" t="str">
        <f t="shared" si="3"/>
        <v/>
      </c>
      <c r="S77" s="196" t="str">
        <f t="shared" si="4"/>
        <v/>
      </c>
    </row>
    <row r="78" spans="8:19" x14ac:dyDescent="0.2">
      <c r="H78" s="312"/>
      <c r="I78" s="243">
        <v>0</v>
      </c>
      <c r="J78" s="243" t="str" cm="1">
        <f t="array" ref="J78">IFERROR(
        SMALL(
            IF($I$56:$I$80=1, ROW($I$56:$I$80)-ROW($I$56)+1),
            ROW(A23)
        ),"")</f>
        <v/>
      </c>
      <c r="K78" s="243" t="str" cm="1">
        <f t="array" ref="K78">IFERROR(
    INDEX(Ploegen,
        J78    ) &amp; " C",
"")</f>
        <v/>
      </c>
      <c r="L78" s="231" t="str" cm="1">
        <f t="array" ref="L78">IF(K78&lt;&gt;"",
INDEX(Ploegen!$F$3:$F$27,
    J78,
0),"")</f>
        <v/>
      </c>
      <c r="M78" s="231" t="str" cm="1">
        <f t="array" ref="M78">IF(K78&lt;&gt;"",
INDEX(Ploegen!$Z$3:$AC$27,
    J78,
0),"")</f>
        <v/>
      </c>
      <c r="N78" s="231"/>
      <c r="O78" s="231"/>
      <c r="P78" s="231"/>
      <c r="Q78" s="232"/>
      <c r="R78" t="str">
        <f t="shared" si="3"/>
        <v/>
      </c>
      <c r="S78" s="196" t="str">
        <f t="shared" si="4"/>
        <v/>
      </c>
    </row>
    <row r="79" spans="8:19" x14ac:dyDescent="0.2">
      <c r="H79" s="312"/>
      <c r="I79" s="243">
        <v>0</v>
      </c>
      <c r="J79" s="243" t="str" cm="1">
        <f t="array" ref="J79">IFERROR(
        SMALL(
            IF($I$56:$I$80=1, ROW($I$56:$I$80)-ROW($I$56)+1),
            ROW(A24)
        ),"")</f>
        <v/>
      </c>
      <c r="K79" s="243" t="str" cm="1">
        <f t="array" ref="K79">IFERROR(
    INDEX(Ploegen,
        J79    ) &amp; " C",
"")</f>
        <v/>
      </c>
      <c r="L79" s="231" t="str" cm="1">
        <f t="array" ref="L79">IF(K79&lt;&gt;"",
INDEX(Ploegen!$F$3:$F$27,
    J79,
0),"")</f>
        <v/>
      </c>
      <c r="M79" s="231" t="str" cm="1">
        <f t="array" ref="M79">IF(K79&lt;&gt;"",
INDEX(Ploegen!$Z$3:$AC$27,
    J79,
0),"")</f>
        <v/>
      </c>
      <c r="N79" s="231"/>
      <c r="O79" s="231"/>
      <c r="P79" s="231"/>
      <c r="Q79" s="232"/>
      <c r="R79" t="str">
        <f t="shared" si="3"/>
        <v/>
      </c>
      <c r="S79" s="196" t="str">
        <f t="shared" si="4"/>
        <v/>
      </c>
    </row>
    <row r="80" spans="8:19" ht="13.5" thickBot="1" x14ac:dyDescent="0.25">
      <c r="H80" s="313"/>
      <c r="I80" s="244">
        <v>0</v>
      </c>
      <c r="J80" s="243" t="str" cm="1">
        <f t="array" ref="J80">IFERROR(
        SMALL(
            IF($I$56:$I$80=1, ROW($I$56:$I$80)-ROW($I$56)+1),
            ROW(A25)
        ),"")</f>
        <v/>
      </c>
      <c r="K80" s="244" t="str" cm="1">
        <f t="array" ref="K80">IFERROR(
    INDEX(Ploegen,
        J80    ) &amp; " C",
"")</f>
        <v/>
      </c>
      <c r="L80" s="234" t="str" cm="1">
        <f t="array" ref="L80">IF(K80&lt;&gt;"",
INDEX(Ploegen!$F$3:$F$27,
    J80,
0),"")</f>
        <v/>
      </c>
      <c r="M80" s="234" t="str" cm="1">
        <f t="array" ref="M80">IF(K80&lt;&gt;"",
INDEX(Ploegen!$Z$3:$AC$27,
    J80,
0),"")</f>
        <v/>
      </c>
      <c r="N80" s="234"/>
      <c r="O80" s="234"/>
      <c r="P80" s="234"/>
      <c r="Q80" s="235"/>
      <c r="R80" t="str">
        <f t="shared" si="3"/>
        <v/>
      </c>
      <c r="S80" s="196" t="str">
        <f t="shared" si="4"/>
        <v/>
      </c>
    </row>
    <row r="81" spans="8:19" x14ac:dyDescent="0.2">
      <c r="H81" s="311" t="s">
        <v>6</v>
      </c>
      <c r="I81" s="241" cm="1">
        <f t="array" ref="I81:I105">IFERROR((Uitslagen_D &gt;= Prijs_vanaf)*(Ploegen &lt;&gt; Stand)*(Minder_dan_6 = "")*(COUNT(Ploegen!D3:I27)&gt;2),0)</f>
        <v>0</v>
      </c>
      <c r="J81" s="241" t="str" cm="1">
        <f t="array" ref="J81">IFERROR(
        SMALL(
            IF($I$81:$I$105=1, ROW($I$81:$I$105)-ROW($I$81)+1),
            ROW(A1)
        ),"")</f>
        <v/>
      </c>
      <c r="K81" s="241" t="str" cm="1">
        <f t="array" ref="K81">IFERROR(
    INDEX(Ploegen,
        J81    ) &amp; " D",
"")</f>
        <v/>
      </c>
      <c r="L81" s="242" t="str" cm="1">
        <f t="array" ref="L81">IF(K81&lt;&gt;"",
INDEX(Ploegen!$G$3:$G$27,
    J81,
0),"")</f>
        <v/>
      </c>
      <c r="M81" s="242" t="str" cm="1">
        <f t="array" ref="M81">IF(K81&lt;&gt;"",
INDEX(Ploegen!$AD$3:$AE$27,
    J81,
0),"")</f>
        <v/>
      </c>
      <c r="N81" s="242"/>
      <c r="O81" s="242"/>
      <c r="P81" s="242"/>
      <c r="Q81" s="229"/>
      <c r="R81" t="str">
        <f t="shared" si="3"/>
        <v/>
      </c>
      <c r="S81" s="196" t="str">
        <f t="shared" si="4"/>
        <v/>
      </c>
    </row>
    <row r="82" spans="8:19" x14ac:dyDescent="0.2">
      <c r="H82" s="312"/>
      <c r="I82" s="243">
        <v>0</v>
      </c>
      <c r="J82" s="243" t="str" cm="1">
        <f t="array" ref="J82">IFERROR(
        SMALL(
            IF($I$81:$I$105=1, ROW($I$81:$I$105)-ROW($I$81)+1),
            ROW(A2)
        ),"")</f>
        <v/>
      </c>
      <c r="K82" s="243" t="str" cm="1">
        <f t="array" ref="K82">IFERROR(
    INDEX(Ploegen,
        J82    ) &amp; " D",
"")</f>
        <v/>
      </c>
      <c r="L82" s="231" t="str" cm="1">
        <f t="array" ref="L82">IF(K82&lt;&gt;"",
INDEX(Ploegen!$G$3:$G$27,
    J82,
0),"")</f>
        <v/>
      </c>
      <c r="M82" s="231" t="str" cm="1">
        <f t="array" ref="M82">IF(K82&lt;&gt;"",
INDEX(Ploegen!$AD$3:$AE$27,
    J82,
0),"")</f>
        <v/>
      </c>
      <c r="N82" s="231"/>
      <c r="O82" s="231"/>
      <c r="P82" s="231"/>
      <c r="Q82" s="232"/>
      <c r="R82" t="str">
        <f t="shared" si="3"/>
        <v/>
      </c>
      <c r="S82" s="196" t="str">
        <f t="shared" si="4"/>
        <v/>
      </c>
    </row>
    <row r="83" spans="8:19" x14ac:dyDescent="0.2">
      <c r="H83" s="312"/>
      <c r="I83" s="243">
        <v>0</v>
      </c>
      <c r="J83" s="243" t="str" cm="1">
        <f t="array" ref="J83">IFERROR(
        SMALL(
            IF($I$81:$I$105=1, ROW($I$81:$I$105)-ROW($I$81)+1),
            ROW(A3)
        ),"")</f>
        <v/>
      </c>
      <c r="K83" s="243" t="str" cm="1">
        <f t="array" ref="K83">IFERROR(
    INDEX(Ploegen,
        J83    ) &amp; " D",
"")</f>
        <v/>
      </c>
      <c r="L83" s="231" t="str" cm="1">
        <f t="array" ref="L83">IF(K83&lt;&gt;"",
INDEX(Ploegen!$G$3:$G$27,
    J83,
0),"")</f>
        <v/>
      </c>
      <c r="M83" s="231" t="str" cm="1">
        <f t="array" ref="M83">IF(K83&lt;&gt;"",
INDEX(Ploegen!$AD$3:$AE$27,
    J83,
0),"")</f>
        <v/>
      </c>
      <c r="N83" s="231"/>
      <c r="O83" s="231"/>
      <c r="P83" s="231"/>
      <c r="Q83" s="232"/>
      <c r="R83" t="str">
        <f t="shared" si="3"/>
        <v/>
      </c>
      <c r="S83" s="196" t="str">
        <f t="shared" si="4"/>
        <v/>
      </c>
    </row>
    <row r="84" spans="8:19" x14ac:dyDescent="0.2">
      <c r="H84" s="312"/>
      <c r="I84" s="243">
        <v>0</v>
      </c>
      <c r="J84" s="243" t="str" cm="1">
        <f t="array" ref="J84">IFERROR(
        SMALL(
            IF($I$81:$I$105=1, ROW($I$81:$I$105)-ROW($I$81)+1),
            ROW(A4)
        ),"")</f>
        <v/>
      </c>
      <c r="K84" s="243" t="str" cm="1">
        <f t="array" ref="K84">IFERROR(
    INDEX(Ploegen,
        J84    ) &amp; " D",
"")</f>
        <v/>
      </c>
      <c r="L84" s="231" t="str" cm="1">
        <f t="array" ref="L84">IF(K84&lt;&gt;"",
INDEX(Ploegen!$G$3:$G$27,
    J84,
0),"")</f>
        <v/>
      </c>
      <c r="M84" s="231" t="str" cm="1">
        <f t="array" ref="M84">IF(K84&lt;&gt;"",
INDEX(Ploegen!$AD$3:$AE$27,
    J84,
0),"")</f>
        <v/>
      </c>
      <c r="N84" s="231"/>
      <c r="O84" s="231"/>
      <c r="P84" s="231"/>
      <c r="Q84" s="232"/>
      <c r="R84" t="str">
        <f t="shared" si="3"/>
        <v/>
      </c>
      <c r="S84" s="196" t="str">
        <f t="shared" si="4"/>
        <v/>
      </c>
    </row>
    <row r="85" spans="8:19" x14ac:dyDescent="0.2">
      <c r="H85" s="312"/>
      <c r="I85" s="243">
        <v>0</v>
      </c>
      <c r="J85" s="243" t="str" cm="1">
        <f t="array" ref="J85">IFERROR(
        SMALL(
            IF($I$81:$I$105=1, ROW($I$81:$I$105)-ROW($I$81)+1),
            ROW(A5)
        ),"")</f>
        <v/>
      </c>
      <c r="K85" s="243" t="str" cm="1">
        <f t="array" ref="K85">IFERROR(
    INDEX(Ploegen,
        J85    ) &amp; " D",
"")</f>
        <v/>
      </c>
      <c r="L85" s="231" t="str" cm="1">
        <f t="array" ref="L85">IF(K85&lt;&gt;"",
INDEX(Ploegen!$G$3:$G$27,
    J85,
0),"")</f>
        <v/>
      </c>
      <c r="M85" s="231" t="str" cm="1">
        <f t="array" ref="M85">IF(K85&lt;&gt;"",
INDEX(Ploegen!$AD$3:$AE$27,
    J85,
0),"")</f>
        <v/>
      </c>
      <c r="N85" s="231"/>
      <c r="O85" s="231"/>
      <c r="P85" s="231"/>
      <c r="Q85" s="232"/>
      <c r="R85" t="str">
        <f t="shared" si="3"/>
        <v/>
      </c>
      <c r="S85" s="196" t="str">
        <f t="shared" si="4"/>
        <v/>
      </c>
    </row>
    <row r="86" spans="8:19" x14ac:dyDescent="0.2">
      <c r="H86" s="312"/>
      <c r="I86" s="243">
        <v>0</v>
      </c>
      <c r="J86" s="243" t="str" cm="1">
        <f t="array" ref="J86">IFERROR(
        SMALL(
            IF($I$81:$I$105=1, ROW($I$81:$I$105)-ROW($I$81)+1),
            ROW(A6)
        ),"")</f>
        <v/>
      </c>
      <c r="K86" s="243" t="str" cm="1">
        <f t="array" ref="K86">IFERROR(
    INDEX(Ploegen,
        J86    ) &amp; " D",
"")</f>
        <v/>
      </c>
      <c r="L86" s="231" t="str" cm="1">
        <f t="array" ref="L86">IF(K86&lt;&gt;"",
INDEX(Ploegen!$G$3:$G$27,
    J86,
0),"")</f>
        <v/>
      </c>
      <c r="M86" s="231" t="str" cm="1">
        <f t="array" ref="M86">IF(K86&lt;&gt;"",
INDEX(Ploegen!$AD$3:$AE$27,
    J86,
0),"")</f>
        <v/>
      </c>
      <c r="N86" s="231"/>
      <c r="O86" s="231"/>
      <c r="P86" s="231"/>
      <c r="Q86" s="232"/>
      <c r="R86" t="str">
        <f t="shared" si="3"/>
        <v/>
      </c>
      <c r="S86" s="196" t="str">
        <f t="shared" si="4"/>
        <v/>
      </c>
    </row>
    <row r="87" spans="8:19" x14ac:dyDescent="0.2">
      <c r="H87" s="312"/>
      <c r="I87" s="243">
        <v>0</v>
      </c>
      <c r="J87" s="243" t="str" cm="1">
        <f t="array" ref="J87">IFERROR(
        SMALL(
            IF($I$81:$I$105=1, ROW($I$81:$I$105)-ROW($I$81)+1),
            ROW(A7)
        ),"")</f>
        <v/>
      </c>
      <c r="K87" s="243" t="str" cm="1">
        <f t="array" ref="K87">IFERROR(
    INDEX(Ploegen,
        J87    ) &amp; " D",
"")</f>
        <v/>
      </c>
      <c r="L87" s="231" t="str" cm="1">
        <f t="array" ref="L87">IF(K87&lt;&gt;"",
INDEX(Ploegen!$G$3:$G$27,
    J87,
0),"")</f>
        <v/>
      </c>
      <c r="M87" s="231" t="str" cm="1">
        <f t="array" ref="M87">IF(K87&lt;&gt;"",
INDEX(Ploegen!$AD$3:$AE$27,
    J87,
0),"")</f>
        <v/>
      </c>
      <c r="N87" s="231"/>
      <c r="O87" s="231"/>
      <c r="P87" s="231"/>
      <c r="Q87" s="232"/>
      <c r="R87" t="str">
        <f t="shared" si="3"/>
        <v/>
      </c>
      <c r="S87" s="196" t="str">
        <f t="shared" si="4"/>
        <v/>
      </c>
    </row>
    <row r="88" spans="8:19" x14ac:dyDescent="0.2">
      <c r="H88" s="312"/>
      <c r="I88" s="243">
        <v>0</v>
      </c>
      <c r="J88" s="243" t="str" cm="1">
        <f t="array" ref="J88">IFERROR(
        SMALL(
            IF($I$81:$I$105=1, ROW($I$81:$I$105)-ROW($I$81)+1),
            ROW(A8)
        ),"")</f>
        <v/>
      </c>
      <c r="K88" s="243" t="str" cm="1">
        <f t="array" ref="K88">IFERROR(
    INDEX(Ploegen,
        J88    ) &amp; " D",
"")</f>
        <v/>
      </c>
      <c r="L88" s="231" t="str" cm="1">
        <f t="array" ref="L88">IF(K88&lt;&gt;"",
INDEX(Ploegen!$G$3:$G$27,
    J88,
0),"")</f>
        <v/>
      </c>
      <c r="M88" s="231" t="str" cm="1">
        <f t="array" ref="M88">IF(K88&lt;&gt;"",
INDEX(Ploegen!$AD$3:$AE$27,
    J88,
0),"")</f>
        <v/>
      </c>
      <c r="N88" s="231"/>
      <c r="O88" s="231"/>
      <c r="P88" s="231"/>
      <c r="Q88" s="232"/>
      <c r="R88" t="str">
        <f t="shared" si="3"/>
        <v/>
      </c>
      <c r="S88" s="196" t="str">
        <f t="shared" si="4"/>
        <v/>
      </c>
    </row>
    <row r="89" spans="8:19" x14ac:dyDescent="0.2">
      <c r="H89" s="312"/>
      <c r="I89" s="243">
        <v>0</v>
      </c>
      <c r="J89" s="243" t="str" cm="1">
        <f t="array" ref="J89">IFERROR(
        SMALL(
            IF($I$81:$I$105=1, ROW($I$81:$I$105)-ROW($I$81)+1),
            ROW(A9)
        ),"")</f>
        <v/>
      </c>
      <c r="K89" s="243" t="str" cm="1">
        <f t="array" ref="K89">IFERROR(
    INDEX(Ploegen,
        J89    ) &amp; " D",
"")</f>
        <v/>
      </c>
      <c r="L89" s="231" t="str" cm="1">
        <f t="array" ref="L89">IF(K89&lt;&gt;"",
INDEX(Ploegen!$G$3:$G$27,
    J89,
0),"")</f>
        <v/>
      </c>
      <c r="M89" s="231" t="str" cm="1">
        <f t="array" ref="M89">IF(K89&lt;&gt;"",
INDEX(Ploegen!$AD$3:$AE$27,
    J89,
0),"")</f>
        <v/>
      </c>
      <c r="N89" s="231"/>
      <c r="O89" s="231"/>
      <c r="P89" s="231"/>
      <c r="Q89" s="232"/>
      <c r="R89" t="str">
        <f t="shared" si="3"/>
        <v/>
      </c>
      <c r="S89" s="196" t="str">
        <f t="shared" si="4"/>
        <v/>
      </c>
    </row>
    <row r="90" spans="8:19" x14ac:dyDescent="0.2">
      <c r="H90" s="312"/>
      <c r="I90" s="243">
        <v>0</v>
      </c>
      <c r="J90" s="243" t="str" cm="1">
        <f t="array" ref="J90">IFERROR(
        SMALL(
            IF($I$81:$I$105=1, ROW($I$81:$I$105)-ROW($I$81)+1),
            ROW(A10)
        ),"")</f>
        <v/>
      </c>
      <c r="K90" s="243" t="str" cm="1">
        <f t="array" ref="K90">IFERROR(
    INDEX(Ploegen,
        J90    ) &amp; " D",
"")</f>
        <v/>
      </c>
      <c r="L90" s="231" t="str" cm="1">
        <f t="array" ref="L90">IF(K90&lt;&gt;"",
INDEX(Ploegen!$G$3:$G$27,
    J90,
0),"")</f>
        <v/>
      </c>
      <c r="M90" s="231" t="str" cm="1">
        <f t="array" ref="M90">IF(K90&lt;&gt;"",
INDEX(Ploegen!$AD$3:$AE$27,
    J90,
0),"")</f>
        <v/>
      </c>
      <c r="N90" s="231"/>
      <c r="O90" s="231"/>
      <c r="P90" s="231"/>
      <c r="Q90" s="232"/>
      <c r="R90" t="str">
        <f t="shared" si="3"/>
        <v/>
      </c>
      <c r="S90" s="196" t="str">
        <f t="shared" si="4"/>
        <v/>
      </c>
    </row>
    <row r="91" spans="8:19" x14ac:dyDescent="0.2">
      <c r="H91" s="312"/>
      <c r="I91" s="243">
        <v>0</v>
      </c>
      <c r="J91" s="243" t="str" cm="1">
        <f t="array" ref="J91">IFERROR(
        SMALL(
            IF($I$81:$I$105=1, ROW($I$81:$I$105)-ROW($I$81)+1),
            ROW(A11)
        ),"")</f>
        <v/>
      </c>
      <c r="K91" s="243" t="str" cm="1">
        <f t="array" ref="K91">IFERROR(
    INDEX(Ploegen,
        J91    ) &amp; " D",
"")</f>
        <v/>
      </c>
      <c r="L91" s="231" t="str" cm="1">
        <f t="array" ref="L91">IF(K91&lt;&gt;"",
INDEX(Ploegen!$G$3:$G$27,
    J91,
0),"")</f>
        <v/>
      </c>
      <c r="M91" s="231" t="str" cm="1">
        <f t="array" ref="M91">IF(K91&lt;&gt;"",
INDEX(Ploegen!$AD$3:$AE$27,
    J91,
0),"")</f>
        <v/>
      </c>
      <c r="N91" s="231"/>
      <c r="O91" s="231"/>
      <c r="P91" s="231"/>
      <c r="Q91" s="232"/>
      <c r="R91" t="str">
        <f t="shared" si="3"/>
        <v/>
      </c>
      <c r="S91" s="196" t="str">
        <f t="shared" si="4"/>
        <v/>
      </c>
    </row>
    <row r="92" spans="8:19" x14ac:dyDescent="0.2">
      <c r="H92" s="312"/>
      <c r="I92" s="243">
        <v>0</v>
      </c>
      <c r="J92" s="243" t="str" cm="1">
        <f t="array" ref="J92">IFERROR(
        SMALL(
            IF($I$81:$I$105=1, ROW($I$81:$I$105)-ROW($I$81)+1),
            ROW(A12)
        ),"")</f>
        <v/>
      </c>
      <c r="K92" s="243" t="str" cm="1">
        <f t="array" ref="K92">IFERROR(
    INDEX(Ploegen,
        J92    ) &amp; " D",
"")</f>
        <v/>
      </c>
      <c r="L92" s="231" t="str" cm="1">
        <f t="array" ref="L92">IF(K92&lt;&gt;"",
INDEX(Ploegen!$G$3:$G$27,
    J92,
0),"")</f>
        <v/>
      </c>
      <c r="M92" s="231" t="str" cm="1">
        <f t="array" ref="M92">IF(K92&lt;&gt;"",
INDEX(Ploegen!$AD$3:$AE$27,
    J92,
0),"")</f>
        <v/>
      </c>
      <c r="N92" s="231"/>
      <c r="O92" s="231"/>
      <c r="P92" s="231"/>
      <c r="Q92" s="232"/>
      <c r="R92" t="str">
        <f t="shared" si="3"/>
        <v/>
      </c>
      <c r="S92" s="196" t="str">
        <f t="shared" si="4"/>
        <v/>
      </c>
    </row>
    <row r="93" spans="8:19" x14ac:dyDescent="0.2">
      <c r="H93" s="312"/>
      <c r="I93" s="243">
        <v>0</v>
      </c>
      <c r="J93" s="243" t="str" cm="1">
        <f t="array" ref="J93">IFERROR(
        SMALL(
            IF($I$81:$I$105=1, ROW($I$81:$I$105)-ROW($I$81)+1),
            ROW(A13)
        ),"")</f>
        <v/>
      </c>
      <c r="K93" s="243" t="str" cm="1">
        <f t="array" ref="K93">IFERROR(
    INDEX(Ploegen,
        J93    ) &amp; " D",
"")</f>
        <v/>
      </c>
      <c r="L93" s="231" t="str" cm="1">
        <f t="array" ref="L93">IF(K93&lt;&gt;"",
INDEX(Ploegen!$G$3:$G$27,
    J93,
0),"")</f>
        <v/>
      </c>
      <c r="M93" s="231" t="str" cm="1">
        <f t="array" ref="M93">IF(K93&lt;&gt;"",
INDEX(Ploegen!$AD$3:$AE$27,
    J93,
0),"")</f>
        <v/>
      </c>
      <c r="N93" s="231"/>
      <c r="O93" s="231"/>
      <c r="P93" s="231"/>
      <c r="Q93" s="232"/>
      <c r="R93" t="str">
        <f t="shared" si="3"/>
        <v/>
      </c>
      <c r="S93" s="196" t="str">
        <f t="shared" si="4"/>
        <v/>
      </c>
    </row>
    <row r="94" spans="8:19" x14ac:dyDescent="0.2">
      <c r="H94" s="312"/>
      <c r="I94" s="243">
        <v>0</v>
      </c>
      <c r="J94" s="243" t="str" cm="1">
        <f t="array" ref="J94">IFERROR(
        SMALL(
            IF($I$81:$I$105=1, ROW($I$81:$I$105)-ROW($I$81)+1),
            ROW(A14)
        ),"")</f>
        <v/>
      </c>
      <c r="K94" s="243" t="str" cm="1">
        <f t="array" ref="K94">IFERROR(
    INDEX(Ploegen,
        J94    ) &amp; " D",
"")</f>
        <v/>
      </c>
      <c r="L94" s="231" t="str" cm="1">
        <f t="array" ref="L94">IF(K94&lt;&gt;"",
INDEX(Ploegen!$G$3:$G$27,
    J94,
0),"")</f>
        <v/>
      </c>
      <c r="M94" s="231" t="str" cm="1">
        <f t="array" ref="M94">IF(K94&lt;&gt;"",
INDEX(Ploegen!$AD$3:$AE$27,
    J94,
0),"")</f>
        <v/>
      </c>
      <c r="N94" s="231"/>
      <c r="O94" s="231"/>
      <c r="P94" s="231"/>
      <c r="Q94" s="232"/>
      <c r="R94" t="str">
        <f t="shared" si="3"/>
        <v/>
      </c>
      <c r="S94" s="196" t="str">
        <f t="shared" si="4"/>
        <v/>
      </c>
    </row>
    <row r="95" spans="8:19" x14ac:dyDescent="0.2">
      <c r="H95" s="312"/>
      <c r="I95" s="243">
        <v>0</v>
      </c>
      <c r="J95" s="243" t="str" cm="1">
        <f t="array" ref="J95">IFERROR(
        SMALL(
            IF($I$81:$I$105=1, ROW($I$81:$I$105)-ROW($I$81)+1),
            ROW(A15)
        ),"")</f>
        <v/>
      </c>
      <c r="K95" s="243" t="str" cm="1">
        <f t="array" ref="K95">IFERROR(
    INDEX(Ploegen,
        J95    ) &amp; " D",
"")</f>
        <v/>
      </c>
      <c r="L95" s="231" t="str" cm="1">
        <f t="array" ref="L95">IF(K95&lt;&gt;"",
INDEX(Ploegen!$G$3:$G$27,
    J95,
0),"")</f>
        <v/>
      </c>
      <c r="M95" s="231" t="str" cm="1">
        <f t="array" ref="M95">IF(K95&lt;&gt;"",
INDEX(Ploegen!$AD$3:$AE$27,
    J95,
0),"")</f>
        <v/>
      </c>
      <c r="N95" s="231"/>
      <c r="O95" s="231"/>
      <c r="P95" s="231"/>
      <c r="Q95" s="232"/>
      <c r="R95" t="str">
        <f t="shared" si="3"/>
        <v/>
      </c>
      <c r="S95" s="196" t="str">
        <f t="shared" si="4"/>
        <v/>
      </c>
    </row>
    <row r="96" spans="8:19" x14ac:dyDescent="0.2">
      <c r="H96" s="312"/>
      <c r="I96" s="243">
        <v>0</v>
      </c>
      <c r="J96" s="243" t="str" cm="1">
        <f t="array" ref="J96">IFERROR(
        SMALL(
            IF($I$81:$I$105=1, ROW($I$81:$I$105)-ROW($I$81)+1),
            ROW(A16)
        ),"")</f>
        <v/>
      </c>
      <c r="K96" s="243" t="str" cm="1">
        <f t="array" ref="K96">IFERROR(
    INDEX(Ploegen,
        J96    ) &amp; " D",
"")</f>
        <v/>
      </c>
      <c r="L96" s="231" t="str" cm="1">
        <f t="array" ref="L96">IF(K96&lt;&gt;"",
INDEX(Ploegen!$G$3:$G$27,
    J96,
0),"")</f>
        <v/>
      </c>
      <c r="M96" s="231" t="str" cm="1">
        <f t="array" ref="M96">IF(K96&lt;&gt;"",
INDEX(Ploegen!$AD$3:$AE$27,
    J96,
0),"")</f>
        <v/>
      </c>
      <c r="N96" s="231"/>
      <c r="O96" s="231"/>
      <c r="P96" s="231"/>
      <c r="Q96" s="232"/>
      <c r="R96" t="str">
        <f t="shared" si="3"/>
        <v/>
      </c>
      <c r="S96" s="196" t="str">
        <f t="shared" si="4"/>
        <v/>
      </c>
    </row>
    <row r="97" spans="8:19" x14ac:dyDescent="0.2">
      <c r="H97" s="312"/>
      <c r="I97" s="243">
        <v>0</v>
      </c>
      <c r="J97" s="243" t="str" cm="1">
        <f t="array" ref="J97">IFERROR(
        SMALL(
            IF($I$81:$I$105=1, ROW($I$81:$I$105)-ROW($I$81)+1),
            ROW(A17)
        ),"")</f>
        <v/>
      </c>
      <c r="K97" s="243" t="str" cm="1">
        <f t="array" ref="K97">IFERROR(
    INDEX(Ploegen,
        J97    ) &amp; " D",
"")</f>
        <v/>
      </c>
      <c r="L97" s="231" t="str" cm="1">
        <f t="array" ref="L97">IF(K97&lt;&gt;"",
INDEX(Ploegen!$G$3:$G$27,
    J97,
0),"")</f>
        <v/>
      </c>
      <c r="M97" s="231" t="str" cm="1">
        <f t="array" ref="M97">IF(K97&lt;&gt;"",
INDEX(Ploegen!$AD$3:$AE$27,
    J97,
0),"")</f>
        <v/>
      </c>
      <c r="N97" s="231"/>
      <c r="O97" s="231"/>
      <c r="P97" s="231"/>
      <c r="Q97" s="232"/>
      <c r="R97" t="str">
        <f t="shared" si="3"/>
        <v/>
      </c>
      <c r="S97" s="196" t="str">
        <f t="shared" si="4"/>
        <v/>
      </c>
    </row>
    <row r="98" spans="8:19" x14ac:dyDescent="0.2">
      <c r="H98" s="312"/>
      <c r="I98" s="243">
        <v>0</v>
      </c>
      <c r="J98" s="243" t="str" cm="1">
        <f t="array" ref="J98">IFERROR(
        SMALL(
            IF($I$81:$I$105=1, ROW($I$81:$I$105)-ROW($I$81)+1),
            ROW(A18)
        ),"")</f>
        <v/>
      </c>
      <c r="K98" s="243" t="str" cm="1">
        <f t="array" ref="K98">IFERROR(
    INDEX(Ploegen,
        J98    ) &amp; " D",
"")</f>
        <v/>
      </c>
      <c r="L98" s="231" t="str" cm="1">
        <f t="array" ref="L98">IF(K98&lt;&gt;"",
INDEX(Ploegen!$G$3:$G$27,
    J98,
0),"")</f>
        <v/>
      </c>
      <c r="M98" s="231" t="str" cm="1">
        <f t="array" ref="M98">IF(K98&lt;&gt;"",
INDEX(Ploegen!$AD$3:$AE$27,
    J98,
0),"")</f>
        <v/>
      </c>
      <c r="N98" s="231"/>
      <c r="O98" s="231"/>
      <c r="P98" s="231"/>
      <c r="Q98" s="232"/>
      <c r="R98" t="str">
        <f t="shared" si="3"/>
        <v/>
      </c>
      <c r="S98" s="196" t="str">
        <f t="shared" si="4"/>
        <v/>
      </c>
    </row>
    <row r="99" spans="8:19" x14ac:dyDescent="0.2">
      <c r="H99" s="312"/>
      <c r="I99" s="243">
        <v>0</v>
      </c>
      <c r="J99" s="243" t="str" cm="1">
        <f t="array" ref="J99">IFERROR(
        SMALL(
            IF($I$81:$I$105=1, ROW($I$81:$I$105)-ROW($I$81)+1),
            ROW(A19)
        ),"")</f>
        <v/>
      </c>
      <c r="K99" s="243" t="str" cm="1">
        <f t="array" ref="K99">IFERROR(
    INDEX(Ploegen,
        J99    ) &amp; " D",
"")</f>
        <v/>
      </c>
      <c r="L99" s="231" t="str" cm="1">
        <f t="array" ref="L99">IF(K99&lt;&gt;"",
INDEX(Ploegen!$G$3:$G$27,
    J99,
0),"")</f>
        <v/>
      </c>
      <c r="M99" s="231" t="str" cm="1">
        <f t="array" ref="M99">IF(K99&lt;&gt;"",
INDEX(Ploegen!$AD$3:$AE$27,
    J99,
0),"")</f>
        <v/>
      </c>
      <c r="N99" s="231"/>
      <c r="O99" s="231"/>
      <c r="P99" s="231"/>
      <c r="Q99" s="232"/>
      <c r="R99" t="str">
        <f t="shared" si="3"/>
        <v/>
      </c>
      <c r="S99" s="196" t="str">
        <f t="shared" si="4"/>
        <v/>
      </c>
    </row>
    <row r="100" spans="8:19" x14ac:dyDescent="0.2">
      <c r="H100" s="312"/>
      <c r="I100" s="243">
        <v>0</v>
      </c>
      <c r="J100" s="243" t="str" cm="1">
        <f t="array" ref="J100">IFERROR(
        SMALL(
            IF($I$81:$I$105=1, ROW($I$81:$I$105)-ROW($I$81)+1),
            ROW(A20)
        ),"")</f>
        <v/>
      </c>
      <c r="K100" s="243" t="str" cm="1">
        <f t="array" ref="K100">IFERROR(
    INDEX(Ploegen,
        J100    ) &amp; " D",
"")</f>
        <v/>
      </c>
      <c r="L100" s="231" t="str" cm="1">
        <f t="array" ref="L100">IF(K100&lt;&gt;"",
INDEX(Ploegen!$G$3:$G$27,
    J100,
0),"")</f>
        <v/>
      </c>
      <c r="M100" s="231" t="str" cm="1">
        <f t="array" ref="M100">IF(K100&lt;&gt;"",
INDEX(Ploegen!$AD$3:$AE$27,
    J100,
0),"")</f>
        <v/>
      </c>
      <c r="N100" s="231"/>
      <c r="O100" s="231"/>
      <c r="P100" s="231"/>
      <c r="Q100" s="232"/>
      <c r="R100" t="str">
        <f t="shared" si="3"/>
        <v/>
      </c>
      <c r="S100" s="196" t="str">
        <f t="shared" si="4"/>
        <v/>
      </c>
    </row>
    <row r="101" spans="8:19" x14ac:dyDescent="0.2">
      <c r="H101" s="312"/>
      <c r="I101" s="243">
        <v>0</v>
      </c>
      <c r="J101" s="243" t="str" cm="1">
        <f t="array" ref="J101">IFERROR(
        SMALL(
            IF($I$81:$I$105=1, ROW($I$81:$I$105)-ROW($I$81)+1),
            ROW(A21)
        ),"")</f>
        <v/>
      </c>
      <c r="K101" s="243" t="str" cm="1">
        <f t="array" ref="K101">IFERROR(
    INDEX(Ploegen,
        J101    ) &amp; " D",
"")</f>
        <v/>
      </c>
      <c r="L101" s="231" t="str" cm="1">
        <f t="array" ref="L101">IF(K101&lt;&gt;"",
INDEX(Ploegen!$G$3:$G$27,
    J101,
0),"")</f>
        <v/>
      </c>
      <c r="M101" s="231" t="str" cm="1">
        <f t="array" ref="M101">IF(K101&lt;&gt;"",
INDEX(Ploegen!$AD$3:$AE$27,
    J101,
0),"")</f>
        <v/>
      </c>
      <c r="N101" s="231"/>
      <c r="O101" s="231"/>
      <c r="P101" s="231"/>
      <c r="Q101" s="232"/>
      <c r="R101" t="str">
        <f t="shared" si="3"/>
        <v/>
      </c>
      <c r="S101" s="196" t="str">
        <f t="shared" si="4"/>
        <v/>
      </c>
    </row>
    <row r="102" spans="8:19" x14ac:dyDescent="0.2">
      <c r="H102" s="312"/>
      <c r="I102" s="243">
        <v>0</v>
      </c>
      <c r="J102" s="243" t="str" cm="1">
        <f t="array" ref="J102">IFERROR(
        SMALL(
            IF($I$81:$I$105=1, ROW($I$81:$I$105)-ROW($I$81)+1),
            ROW(A22)
        ),"")</f>
        <v/>
      </c>
      <c r="K102" s="243" t="str" cm="1">
        <f t="array" ref="K102">IFERROR(
    INDEX(Ploegen,
        J102    ) &amp; " D",
"")</f>
        <v/>
      </c>
      <c r="L102" s="231" t="str" cm="1">
        <f t="array" ref="L102">IF(K102&lt;&gt;"",
INDEX(Ploegen!$G$3:$G$27,
    J102,
0),"")</f>
        <v/>
      </c>
      <c r="M102" s="231" t="str" cm="1">
        <f t="array" ref="M102">IF(K102&lt;&gt;"",
INDEX(Ploegen!$AD$3:$AE$27,
    J102,
0),"")</f>
        <v/>
      </c>
      <c r="N102" s="231"/>
      <c r="O102" s="231"/>
      <c r="P102" s="231"/>
      <c r="Q102" s="232"/>
      <c r="R102" t="str">
        <f t="shared" si="3"/>
        <v/>
      </c>
      <c r="S102" s="196" t="str">
        <f t="shared" si="4"/>
        <v/>
      </c>
    </row>
    <row r="103" spans="8:19" x14ac:dyDescent="0.2">
      <c r="H103" s="312"/>
      <c r="I103" s="243">
        <v>0</v>
      </c>
      <c r="J103" s="243" t="str" cm="1">
        <f t="array" ref="J103">IFERROR(
        SMALL(
            IF($I$81:$I$105=1, ROW($I$81:$I$105)-ROW($I$81)+1),
            ROW(A23)
        ),"")</f>
        <v/>
      </c>
      <c r="K103" s="243" t="str" cm="1">
        <f t="array" ref="K103">IFERROR(
    INDEX(Ploegen,
        J103    ) &amp; " D",
"")</f>
        <v/>
      </c>
      <c r="L103" s="231" t="str" cm="1">
        <f t="array" ref="L103">IF(K103&lt;&gt;"",
INDEX(Ploegen!$G$3:$G$27,
    J103,
0),"")</f>
        <v/>
      </c>
      <c r="M103" s="231" t="str" cm="1">
        <f t="array" ref="M103">IF(K103&lt;&gt;"",
INDEX(Ploegen!$AD$3:$AE$27,
    J103,
0),"")</f>
        <v/>
      </c>
      <c r="N103" s="231"/>
      <c r="O103" s="231"/>
      <c r="P103" s="231"/>
      <c r="Q103" s="232"/>
      <c r="R103" t="str">
        <f t="shared" si="3"/>
        <v/>
      </c>
      <c r="S103" s="196" t="str">
        <f t="shared" si="4"/>
        <v/>
      </c>
    </row>
    <row r="104" spans="8:19" x14ac:dyDescent="0.2">
      <c r="H104" s="312"/>
      <c r="I104" s="243">
        <v>0</v>
      </c>
      <c r="J104" s="243" t="str" cm="1">
        <f t="array" ref="J104">IFERROR(
        SMALL(
            IF($I$81:$I$105=1, ROW($I$81:$I$105)-ROW($I$81)+1),
            ROW(A24)
        ),"")</f>
        <v/>
      </c>
      <c r="K104" s="243" t="str" cm="1">
        <f t="array" ref="K104">IFERROR(
    INDEX(Ploegen,
        J104    ) &amp; " D",
"")</f>
        <v/>
      </c>
      <c r="L104" s="231" t="str" cm="1">
        <f t="array" ref="L104">IF(K104&lt;&gt;"",
INDEX(Ploegen!$G$3:$G$27,
    J104,
0),"")</f>
        <v/>
      </c>
      <c r="M104" s="231" t="str" cm="1">
        <f t="array" ref="M104">IF(K104&lt;&gt;"",
INDEX(Ploegen!$AD$3:$AE$27,
    J104,
0),"")</f>
        <v/>
      </c>
      <c r="N104" s="231"/>
      <c r="O104" s="231"/>
      <c r="P104" s="231"/>
      <c r="Q104" s="232"/>
      <c r="R104" t="str">
        <f t="shared" si="3"/>
        <v/>
      </c>
      <c r="S104" s="196" t="str">
        <f t="shared" si="4"/>
        <v/>
      </c>
    </row>
    <row r="105" spans="8:19" ht="13.5" thickBot="1" x14ac:dyDescent="0.25">
      <c r="H105" s="313"/>
      <c r="I105" s="244">
        <v>0</v>
      </c>
      <c r="J105" s="244" t="str" cm="1">
        <f t="array" ref="J105">IFERROR(
        SMALL(
            IF($I$81:$I$105=1, ROW($I$81:$I$105)-ROW($I$81)+1),
            ROW(A25)
        ),"")</f>
        <v/>
      </c>
      <c r="K105" s="244" t="str" cm="1">
        <f t="array" ref="K105">IFERROR(
    INDEX(Ploegen,
        J105    ) &amp; " D",
"")</f>
        <v/>
      </c>
      <c r="L105" s="234" t="str" cm="1">
        <f t="array" ref="L105">IF(K105&lt;&gt;"",
INDEX(Ploegen!$G$3:$G$27,
    J105,
0),"")</f>
        <v/>
      </c>
      <c r="M105" s="234" t="str" cm="1">
        <f t="array" ref="M105">IF(K105&lt;&gt;"",
INDEX(Ploegen!$AD$3:$AE$27,
    J105,
0),"")</f>
        <v/>
      </c>
      <c r="N105" s="234"/>
      <c r="O105" s="234"/>
      <c r="P105" s="234"/>
      <c r="Q105" s="235"/>
      <c r="R105" t="str">
        <f t="shared" si="3"/>
        <v/>
      </c>
      <c r="S105" s="196" t="str">
        <f t="shared" si="4"/>
        <v/>
      </c>
    </row>
    <row r="106" spans="8:19" x14ac:dyDescent="0.2">
      <c r="H106" s="311" t="s">
        <v>9</v>
      </c>
      <c r="I106" s="241" cm="1">
        <f t="array" ref="I106:I130">IFERROR((Uitslagen_E &gt;= Prijs_vanaf)*(Ploegen &lt;&gt; Stand)*(Minder_dan_6 = "")*(COUNT(Ploegen!D3:I27)&gt;2),0)</f>
        <v>0</v>
      </c>
      <c r="J106" s="241" t="str" cm="1">
        <f t="array" ref="J106">IFERROR(
        SMALL(
            IF($I$106:$I$130=1, ROW($I$106:$I$130)-ROW($I$106)+1),
            ROW(A1)
        ),"")</f>
        <v/>
      </c>
      <c r="K106" s="241" t="str" cm="1">
        <f t="array" ref="K106">IFERROR(
    INDEX(Ploegen,
        J106    ) &amp; " E",
"")</f>
        <v/>
      </c>
      <c r="L106" s="242" t="str" cm="1">
        <f t="array" ref="L106">IF(K106&lt;&gt;"",
INDEX(Ploegen!$H$3:$H$27,
    J106,
0),"")</f>
        <v/>
      </c>
      <c r="M106" s="242"/>
      <c r="N106" s="242"/>
      <c r="O106" s="242"/>
      <c r="P106" s="242"/>
      <c r="Q106" s="229"/>
      <c r="R106" t="str">
        <f t="shared" si="3"/>
        <v/>
      </c>
      <c r="S106" s="196" t="str">
        <f t="shared" si="4"/>
        <v/>
      </c>
    </row>
    <row r="107" spans="8:19" x14ac:dyDescent="0.2">
      <c r="H107" s="312"/>
      <c r="I107" s="243">
        <v>0</v>
      </c>
      <c r="J107" s="243" t="str" cm="1">
        <f t="array" ref="J107">IFERROR(
        SMALL(
            IF($I$106:$I$130=1, ROW($I$106:$I$130)-ROW($I$106)+1),
            ROW(A2)
        ),"")</f>
        <v/>
      </c>
      <c r="K107" s="243" t="str" cm="1">
        <f t="array" ref="K107">IFERROR(
    INDEX(Ploegen,
        J107    ) &amp; " E",
"")</f>
        <v/>
      </c>
      <c r="L107" s="231" t="str" cm="1">
        <f t="array" ref="L107">IF(K107&lt;&gt;"",
INDEX(Ploegen!$H$3:$H$27,
    J107,
0),"")</f>
        <v/>
      </c>
      <c r="M107" s="231"/>
      <c r="N107" s="231"/>
      <c r="O107" s="231"/>
      <c r="P107" s="231"/>
      <c r="Q107" s="232"/>
      <c r="R107" t="str">
        <f t="shared" si="3"/>
        <v/>
      </c>
      <c r="S107" s="196" t="str">
        <f t="shared" si="4"/>
        <v/>
      </c>
    </row>
    <row r="108" spans="8:19" x14ac:dyDescent="0.2">
      <c r="H108" s="312"/>
      <c r="I108" s="243">
        <v>0</v>
      </c>
      <c r="J108" s="243" t="str" cm="1">
        <f t="array" ref="J108">IFERROR(
        SMALL(
            IF($I$106:$I$130=1, ROW($I$106:$I$130)-ROW($I$106)+1),
            ROW(A3)
        ),"")</f>
        <v/>
      </c>
      <c r="K108" s="243" t="str" cm="1">
        <f t="array" ref="K108">IFERROR(
    INDEX(Ploegen,
        J108    ) &amp; " E",
"")</f>
        <v/>
      </c>
      <c r="L108" s="231" t="str" cm="1">
        <f t="array" ref="L108">IF(K108&lt;&gt;"",
INDEX(Ploegen!$H$3:$H$27,
    J108,
0),"")</f>
        <v/>
      </c>
      <c r="M108" s="231"/>
      <c r="N108" s="231"/>
      <c r="O108" s="231"/>
      <c r="P108" s="231"/>
      <c r="Q108" s="232"/>
      <c r="R108" t="str">
        <f t="shared" si="3"/>
        <v/>
      </c>
      <c r="S108" s="196" t="str">
        <f t="shared" si="4"/>
        <v/>
      </c>
    </row>
    <row r="109" spans="8:19" x14ac:dyDescent="0.2">
      <c r="H109" s="312"/>
      <c r="I109" s="243">
        <v>0</v>
      </c>
      <c r="J109" s="243" t="str" cm="1">
        <f t="array" ref="J109">IFERROR(
        SMALL(
            IF($I$106:$I$130=1, ROW($I$106:$I$130)-ROW($I$106)+1),
            ROW(A4)
        ),"")</f>
        <v/>
      </c>
      <c r="K109" s="243" t="str" cm="1">
        <f t="array" ref="K109">IFERROR(
    INDEX(Ploegen,
        J109    ) &amp; " E",
"")</f>
        <v/>
      </c>
      <c r="L109" s="231" t="str" cm="1">
        <f t="array" ref="L109">IF(K109&lt;&gt;"",
INDEX(Ploegen!$H$3:$H$27,
    J109,
0),"")</f>
        <v/>
      </c>
      <c r="M109" s="231"/>
      <c r="N109" s="231"/>
      <c r="O109" s="231"/>
      <c r="P109" s="231"/>
      <c r="Q109" s="232"/>
      <c r="R109" t="str">
        <f t="shared" si="3"/>
        <v/>
      </c>
      <c r="S109" s="196" t="str">
        <f t="shared" si="4"/>
        <v/>
      </c>
    </row>
    <row r="110" spans="8:19" x14ac:dyDescent="0.2">
      <c r="H110" s="312"/>
      <c r="I110" s="243">
        <v>0</v>
      </c>
      <c r="J110" s="243" t="str" cm="1">
        <f t="array" ref="J110">IFERROR(
        SMALL(
            IF($I$106:$I$130=1, ROW($I$106:$I$130)-ROW($I$106)+1),
            ROW(A5)
        ),"")</f>
        <v/>
      </c>
      <c r="K110" s="243" t="str" cm="1">
        <f t="array" ref="K110">IFERROR(
    INDEX(Ploegen,
        J110    ) &amp; " E",
"")</f>
        <v/>
      </c>
      <c r="L110" s="231" t="str" cm="1">
        <f t="array" ref="L110">IF(K110&lt;&gt;"",
INDEX(Ploegen!$H$3:$H$27,
    J110,
0),"")</f>
        <v/>
      </c>
      <c r="M110" s="231"/>
      <c r="N110" s="231"/>
      <c r="O110" s="231"/>
      <c r="P110" s="231"/>
      <c r="Q110" s="232"/>
      <c r="R110" t="str">
        <f t="shared" si="3"/>
        <v/>
      </c>
      <c r="S110" s="196" t="str">
        <f t="shared" si="4"/>
        <v/>
      </c>
    </row>
    <row r="111" spans="8:19" x14ac:dyDescent="0.2">
      <c r="H111" s="312"/>
      <c r="I111" s="243">
        <v>0</v>
      </c>
      <c r="J111" s="243" t="str" cm="1">
        <f t="array" ref="J111">IFERROR(
        SMALL(
            IF($I$106:$I$130=1, ROW($I$106:$I$130)-ROW($I$106)+1),
            ROW(A6)
        ),"")</f>
        <v/>
      </c>
      <c r="K111" s="243" t="str" cm="1">
        <f t="array" ref="K111">IFERROR(
    INDEX(Ploegen,
        J111    ) &amp; " E",
"")</f>
        <v/>
      </c>
      <c r="L111" s="231" t="str" cm="1">
        <f t="array" ref="L111">IF(K111&lt;&gt;"",
INDEX(Ploegen!$H$3:$H$27,
    J111,
0),"")</f>
        <v/>
      </c>
      <c r="M111" s="231"/>
      <c r="N111" s="231"/>
      <c r="O111" s="231"/>
      <c r="P111" s="231"/>
      <c r="Q111" s="232"/>
      <c r="R111" t="str">
        <f t="shared" si="3"/>
        <v/>
      </c>
      <c r="S111" s="196" t="str">
        <f t="shared" si="4"/>
        <v/>
      </c>
    </row>
    <row r="112" spans="8:19" x14ac:dyDescent="0.2">
      <c r="H112" s="312"/>
      <c r="I112" s="243">
        <v>0</v>
      </c>
      <c r="J112" s="243" t="str" cm="1">
        <f t="array" ref="J112">IFERROR(
        SMALL(
            IF($I$106:$I$130=1, ROW($I$106:$I$130)-ROW($I$106)+1),
            ROW(A7)
        ),"")</f>
        <v/>
      </c>
      <c r="K112" s="243" t="str" cm="1">
        <f t="array" ref="K112">IFERROR(
    INDEX(Ploegen,
        J112    ) &amp; " E",
"")</f>
        <v/>
      </c>
      <c r="L112" s="231" t="str" cm="1">
        <f t="array" ref="L112">IF(K112&lt;&gt;"",
INDEX(Ploegen!$H$3:$H$27,
    J112,
0),"")</f>
        <v/>
      </c>
      <c r="M112" s="231"/>
      <c r="N112" s="231"/>
      <c r="O112" s="231"/>
      <c r="P112" s="231"/>
      <c r="Q112" s="232"/>
      <c r="R112" t="str">
        <f t="shared" si="3"/>
        <v/>
      </c>
      <c r="S112" s="196" t="str">
        <f t="shared" si="4"/>
        <v/>
      </c>
    </row>
    <row r="113" spans="8:19" x14ac:dyDescent="0.2">
      <c r="H113" s="312"/>
      <c r="I113" s="243">
        <v>0</v>
      </c>
      <c r="J113" s="243" t="str" cm="1">
        <f t="array" ref="J113">IFERROR(
        SMALL(
            IF($I$106:$I$130=1, ROW($I$106:$I$130)-ROW($I$106)+1),
            ROW(A8)
        ),"")</f>
        <v/>
      </c>
      <c r="K113" s="243" t="str" cm="1">
        <f t="array" ref="K113">IFERROR(
    INDEX(Ploegen,
        J113    ) &amp; " E",
"")</f>
        <v/>
      </c>
      <c r="L113" s="231" t="str" cm="1">
        <f t="array" ref="L113">IF(K113&lt;&gt;"",
INDEX(Ploegen!$H$3:$H$27,
    J113,
0),"")</f>
        <v/>
      </c>
      <c r="M113" s="231"/>
      <c r="N113" s="231"/>
      <c r="O113" s="231"/>
      <c r="P113" s="231"/>
      <c r="Q113" s="232"/>
      <c r="R113" t="str">
        <f t="shared" si="3"/>
        <v/>
      </c>
      <c r="S113" s="196" t="str">
        <f t="shared" si="4"/>
        <v/>
      </c>
    </row>
    <row r="114" spans="8:19" x14ac:dyDescent="0.2">
      <c r="H114" s="312"/>
      <c r="I114" s="243">
        <v>0</v>
      </c>
      <c r="J114" s="243" t="str" cm="1">
        <f t="array" ref="J114">IFERROR(
        SMALL(
            IF($I$106:$I$130=1, ROW($I$106:$I$130)-ROW($I$106)+1),
            ROW(A9)
        ),"")</f>
        <v/>
      </c>
      <c r="K114" s="243" t="str" cm="1">
        <f t="array" ref="K114">IFERROR(
    INDEX(Ploegen,
        J114    ) &amp; " E",
"")</f>
        <v/>
      </c>
      <c r="L114" s="231" t="str" cm="1">
        <f t="array" ref="L114">IF(K114&lt;&gt;"",
INDEX(Ploegen!$H$3:$H$27,
    J114,
0),"")</f>
        <v/>
      </c>
      <c r="M114" s="231"/>
      <c r="N114" s="231"/>
      <c r="O114" s="231"/>
      <c r="P114" s="231"/>
      <c r="Q114" s="232"/>
      <c r="R114" t="str">
        <f t="shared" si="3"/>
        <v/>
      </c>
      <c r="S114" s="196" t="str">
        <f t="shared" si="4"/>
        <v/>
      </c>
    </row>
    <row r="115" spans="8:19" x14ac:dyDescent="0.2">
      <c r="H115" s="312"/>
      <c r="I115" s="243">
        <v>0</v>
      </c>
      <c r="J115" s="243" t="str" cm="1">
        <f t="array" ref="J115">IFERROR(
        SMALL(
            IF($I$106:$I$130=1, ROW($I$106:$I$130)-ROW($I$106)+1),
            ROW(A10)
        ),"")</f>
        <v/>
      </c>
      <c r="K115" s="243" t="str" cm="1">
        <f t="array" ref="K115">IFERROR(
    INDEX(Ploegen,
        J115    ) &amp; " E",
"")</f>
        <v/>
      </c>
      <c r="L115" s="231" t="str" cm="1">
        <f t="array" ref="L115">IF(K115&lt;&gt;"",
INDEX(Ploegen!$H$3:$H$27,
    J115,
0),"")</f>
        <v/>
      </c>
      <c r="M115" s="231"/>
      <c r="N115" s="231"/>
      <c r="O115" s="231"/>
      <c r="P115" s="231"/>
      <c r="Q115" s="232"/>
      <c r="R115" t="str">
        <f t="shared" si="3"/>
        <v/>
      </c>
      <c r="S115" s="196" t="str">
        <f t="shared" si="4"/>
        <v/>
      </c>
    </row>
    <row r="116" spans="8:19" x14ac:dyDescent="0.2">
      <c r="H116" s="312"/>
      <c r="I116" s="243">
        <v>0</v>
      </c>
      <c r="J116" s="243" t="str" cm="1">
        <f t="array" ref="J116">IFERROR(
        SMALL(
            IF($I$106:$I$130=1, ROW($I$106:$I$130)-ROW($I$106)+1),
            ROW(A11)
        ),"")</f>
        <v/>
      </c>
      <c r="K116" s="243" t="str" cm="1">
        <f t="array" ref="K116">IFERROR(
    INDEX(Ploegen,
        J116    ) &amp; " E",
"")</f>
        <v/>
      </c>
      <c r="L116" s="231" t="str" cm="1">
        <f t="array" ref="L116">IF(K116&lt;&gt;"",
INDEX(Ploegen!$H$3:$H$27,
    J116,
0),"")</f>
        <v/>
      </c>
      <c r="M116" s="231"/>
      <c r="N116" s="231"/>
      <c r="O116" s="231"/>
      <c r="P116" s="231"/>
      <c r="Q116" s="232"/>
      <c r="R116" t="str">
        <f t="shared" si="3"/>
        <v/>
      </c>
      <c r="S116" s="196" t="str">
        <f t="shared" si="4"/>
        <v/>
      </c>
    </row>
    <row r="117" spans="8:19" x14ac:dyDescent="0.2">
      <c r="H117" s="312"/>
      <c r="I117" s="243">
        <v>0</v>
      </c>
      <c r="J117" s="243" t="str" cm="1">
        <f t="array" ref="J117">IFERROR(
        SMALL(
            IF($I$106:$I$130=1, ROW($I$106:$I$130)-ROW($I$106)+1),
            ROW(A12)
        ),"")</f>
        <v/>
      </c>
      <c r="K117" s="243" t="str" cm="1">
        <f t="array" ref="K117">IFERROR(
    INDEX(Ploegen,
        J117    ) &amp; " E",
"")</f>
        <v/>
      </c>
      <c r="L117" s="231" t="str" cm="1">
        <f t="array" ref="L117">IF(K117&lt;&gt;"",
INDEX(Ploegen!$H$3:$H$27,
    J117,
0),"")</f>
        <v/>
      </c>
      <c r="M117" s="231"/>
      <c r="N117" s="231"/>
      <c r="O117" s="231"/>
      <c r="P117" s="231"/>
      <c r="Q117" s="232"/>
      <c r="R117" t="str">
        <f t="shared" si="3"/>
        <v/>
      </c>
      <c r="S117" s="196" t="str">
        <f t="shared" si="4"/>
        <v/>
      </c>
    </row>
    <row r="118" spans="8:19" x14ac:dyDescent="0.2">
      <c r="H118" s="312"/>
      <c r="I118" s="243">
        <v>0</v>
      </c>
      <c r="J118" s="243" t="str" cm="1">
        <f t="array" ref="J118">IFERROR(
        SMALL(
            IF($I$106:$I$130=1, ROW($I$106:$I$130)-ROW($I$106)+1),
            ROW(A13)
        ),"")</f>
        <v/>
      </c>
      <c r="K118" s="243" t="str" cm="1">
        <f t="array" ref="K118">IFERROR(
    INDEX(Ploegen,
        J118    ) &amp; " E",
"")</f>
        <v/>
      </c>
      <c r="L118" s="231" t="str" cm="1">
        <f t="array" ref="L118">IF(K118&lt;&gt;"",
INDEX(Ploegen!$H$3:$H$27,
    J118,
0),"")</f>
        <v/>
      </c>
      <c r="M118" s="231"/>
      <c r="N118" s="231"/>
      <c r="O118" s="231"/>
      <c r="P118" s="231"/>
      <c r="Q118" s="232"/>
      <c r="R118" t="str">
        <f t="shared" si="3"/>
        <v/>
      </c>
      <c r="S118" s="196" t="str">
        <f t="shared" si="4"/>
        <v/>
      </c>
    </row>
    <row r="119" spans="8:19" x14ac:dyDescent="0.2">
      <c r="H119" s="312"/>
      <c r="I119" s="243">
        <v>0</v>
      </c>
      <c r="J119" s="243" t="str" cm="1">
        <f t="array" ref="J119">IFERROR(
        SMALL(
            IF($I$106:$I$130=1, ROW($I$106:$I$130)-ROW($I$106)+1),
            ROW(A14)
        ),"")</f>
        <v/>
      </c>
      <c r="K119" s="243" t="str" cm="1">
        <f t="array" ref="K119">IFERROR(
    INDEX(Ploegen,
        J119    ) &amp; " E",
"")</f>
        <v/>
      </c>
      <c r="L119" s="231" t="str" cm="1">
        <f t="array" ref="L119">IF(K119&lt;&gt;"",
INDEX(Ploegen!$H$3:$H$27,
    J119,
0),"")</f>
        <v/>
      </c>
      <c r="M119" s="231"/>
      <c r="N119" s="231"/>
      <c r="O119" s="231"/>
      <c r="P119" s="231"/>
      <c r="Q119" s="232"/>
      <c r="R119" t="str">
        <f t="shared" si="3"/>
        <v/>
      </c>
      <c r="S119" s="196" t="str">
        <f t="shared" si="4"/>
        <v/>
      </c>
    </row>
    <row r="120" spans="8:19" x14ac:dyDescent="0.2">
      <c r="H120" s="312"/>
      <c r="I120" s="243">
        <v>0</v>
      </c>
      <c r="J120" s="243" t="str" cm="1">
        <f t="array" ref="J120">IFERROR(
        SMALL(
            IF($I$106:$I$130=1, ROW($I$106:$I$130)-ROW($I$106)+1),
            ROW(A15)
        ),"")</f>
        <v/>
      </c>
      <c r="K120" s="243" t="str" cm="1">
        <f t="array" ref="K120">IFERROR(
    INDEX(Ploegen,
        J120    ) &amp; " E",
"")</f>
        <v/>
      </c>
      <c r="L120" s="231" t="str" cm="1">
        <f t="array" ref="L120">IF(K120&lt;&gt;"",
INDEX(Ploegen!$H$3:$H$27,
    J120,
0),"")</f>
        <v/>
      </c>
      <c r="M120" s="231"/>
      <c r="N120" s="231"/>
      <c r="O120" s="231"/>
      <c r="P120" s="231"/>
      <c r="Q120" s="232"/>
      <c r="R120" t="str">
        <f t="shared" si="3"/>
        <v/>
      </c>
      <c r="S120" s="196" t="str">
        <f t="shared" si="4"/>
        <v/>
      </c>
    </row>
    <row r="121" spans="8:19" x14ac:dyDescent="0.2">
      <c r="H121" s="312"/>
      <c r="I121" s="243">
        <v>0</v>
      </c>
      <c r="J121" s="243" t="str" cm="1">
        <f t="array" ref="J121">IFERROR(
        SMALL(
            IF($I$106:$I$130=1, ROW($I$106:$I$130)-ROW($I$106)+1),
            ROW(A16)
        ),"")</f>
        <v/>
      </c>
      <c r="K121" s="243" t="str" cm="1">
        <f t="array" ref="K121">IFERROR(
    INDEX(Ploegen,
        J121    ) &amp; " E",
"")</f>
        <v/>
      </c>
      <c r="L121" s="231" t="str" cm="1">
        <f t="array" ref="L121">IF(K121&lt;&gt;"",
INDEX(Ploegen!$H$3:$H$27,
    J121,
0),"")</f>
        <v/>
      </c>
      <c r="M121" s="231"/>
      <c r="N121" s="231"/>
      <c r="O121" s="231"/>
      <c r="P121" s="231"/>
      <c r="Q121" s="232"/>
      <c r="R121" t="str">
        <f t="shared" si="3"/>
        <v/>
      </c>
      <c r="S121" s="196" t="str">
        <f t="shared" si="4"/>
        <v/>
      </c>
    </row>
    <row r="122" spans="8:19" x14ac:dyDescent="0.2">
      <c r="H122" s="312"/>
      <c r="I122" s="243">
        <v>0</v>
      </c>
      <c r="J122" s="243" t="str" cm="1">
        <f t="array" ref="J122">IFERROR(
        SMALL(
            IF($I$106:$I$130=1, ROW($I$106:$I$130)-ROW($I$106)+1),
            ROW(A17)
        ),"")</f>
        <v/>
      </c>
      <c r="K122" s="243" t="str" cm="1">
        <f t="array" ref="K122">IFERROR(
    INDEX(Ploegen,
        J122    ) &amp; " E",
"")</f>
        <v/>
      </c>
      <c r="L122" s="231" t="str" cm="1">
        <f t="array" ref="L122">IF(K122&lt;&gt;"",
INDEX(Ploegen!$H$3:$H$27,
    J122,
0),"")</f>
        <v/>
      </c>
      <c r="M122" s="231"/>
      <c r="N122" s="231"/>
      <c r="O122" s="231"/>
      <c r="P122" s="231"/>
      <c r="Q122" s="232"/>
      <c r="R122" t="str">
        <f t="shared" si="3"/>
        <v/>
      </c>
      <c r="S122" s="196" t="str">
        <f t="shared" si="4"/>
        <v/>
      </c>
    </row>
    <row r="123" spans="8:19" x14ac:dyDescent="0.2">
      <c r="H123" s="312"/>
      <c r="I123" s="243">
        <v>0</v>
      </c>
      <c r="J123" s="243" t="str" cm="1">
        <f t="array" ref="J123">IFERROR(
        SMALL(
            IF($I$106:$I$130=1, ROW($I$106:$I$130)-ROW($I$106)+1),
            ROW(A18)
        ),"")</f>
        <v/>
      </c>
      <c r="K123" s="243" t="str" cm="1">
        <f t="array" ref="K123">IFERROR(
    INDEX(Ploegen,
        J123    ) &amp; " E",
"")</f>
        <v/>
      </c>
      <c r="L123" s="231" t="str" cm="1">
        <f t="array" ref="L123">IF(K123&lt;&gt;"",
INDEX(Ploegen!$H$3:$H$27,
    J123,
0),"")</f>
        <v/>
      </c>
      <c r="M123" s="231"/>
      <c r="N123" s="231"/>
      <c r="O123" s="231"/>
      <c r="P123" s="231"/>
      <c r="Q123" s="232"/>
      <c r="R123" t="str">
        <f t="shared" si="3"/>
        <v/>
      </c>
      <c r="S123" s="196" t="str">
        <f t="shared" si="4"/>
        <v/>
      </c>
    </row>
    <row r="124" spans="8:19" x14ac:dyDescent="0.2">
      <c r="H124" s="312"/>
      <c r="I124" s="243">
        <v>0</v>
      </c>
      <c r="J124" s="243" t="str" cm="1">
        <f t="array" ref="J124">IFERROR(
        SMALL(
            IF($I$106:$I$130=1, ROW($I$106:$I$130)-ROW($I$106)+1),
            ROW(A19)
        ),"")</f>
        <v/>
      </c>
      <c r="K124" s="243" t="str" cm="1">
        <f t="array" ref="K124">IFERROR(
    INDEX(Ploegen,
        J124    ) &amp; " E",
"")</f>
        <v/>
      </c>
      <c r="L124" s="231" t="str" cm="1">
        <f t="array" ref="L124">IF(K124&lt;&gt;"",
INDEX(Ploegen!$H$3:$H$27,
    J124,
0),"")</f>
        <v/>
      </c>
      <c r="M124" s="231"/>
      <c r="N124" s="231"/>
      <c r="O124" s="231"/>
      <c r="P124" s="231"/>
      <c r="Q124" s="232"/>
      <c r="R124" t="str">
        <f t="shared" si="3"/>
        <v/>
      </c>
      <c r="S124" s="196" t="str">
        <f t="shared" si="4"/>
        <v/>
      </c>
    </row>
    <row r="125" spans="8:19" x14ac:dyDescent="0.2">
      <c r="H125" s="312"/>
      <c r="I125" s="243">
        <v>0</v>
      </c>
      <c r="J125" s="243" t="str" cm="1">
        <f t="array" ref="J125">IFERROR(
        SMALL(
            IF($I$106:$I$130=1, ROW($I$106:$I$130)-ROW($I$106)+1),
            ROW(A20)
        ),"")</f>
        <v/>
      </c>
      <c r="K125" s="243" t="str" cm="1">
        <f t="array" ref="K125">IFERROR(
    INDEX(Ploegen,
        J125    ) &amp; " E",
"")</f>
        <v/>
      </c>
      <c r="L125" s="231" t="str" cm="1">
        <f t="array" ref="L125">IF(K125&lt;&gt;"",
INDEX(Ploegen!$H$3:$H$27,
    J125,
0),"")</f>
        <v/>
      </c>
      <c r="M125" s="231"/>
      <c r="N125" s="231"/>
      <c r="O125" s="231"/>
      <c r="P125" s="231"/>
      <c r="Q125" s="232"/>
      <c r="R125" t="str">
        <f t="shared" si="3"/>
        <v/>
      </c>
      <c r="S125" s="196" t="str">
        <f t="shared" si="4"/>
        <v/>
      </c>
    </row>
    <row r="126" spans="8:19" x14ac:dyDescent="0.2">
      <c r="H126" s="312"/>
      <c r="I126" s="243">
        <v>0</v>
      </c>
      <c r="J126" s="243" t="str" cm="1">
        <f t="array" ref="J126">IFERROR(
        SMALL(
            IF($I$106:$I$130=1, ROW($I$106:$I$130)-ROW($I$106)+1),
            ROW(A21)
        ),"")</f>
        <v/>
      </c>
      <c r="K126" s="243" t="str" cm="1">
        <f t="array" ref="K126">IFERROR(
    INDEX(Ploegen,
        J126    ) &amp; " E",
"")</f>
        <v/>
      </c>
      <c r="L126" s="231" t="str" cm="1">
        <f t="array" ref="L126">IF(K126&lt;&gt;"",
INDEX(Ploegen!$H$3:$H$27,
    J126,
0),"")</f>
        <v/>
      </c>
      <c r="M126" s="231"/>
      <c r="N126" s="231"/>
      <c r="O126" s="231"/>
      <c r="P126" s="231"/>
      <c r="Q126" s="232"/>
      <c r="R126" t="str">
        <f t="shared" si="3"/>
        <v/>
      </c>
      <c r="S126" s="196" t="str">
        <f t="shared" si="4"/>
        <v/>
      </c>
    </row>
    <row r="127" spans="8:19" x14ac:dyDescent="0.2">
      <c r="H127" s="312"/>
      <c r="I127" s="243">
        <v>0</v>
      </c>
      <c r="J127" s="243" t="str" cm="1">
        <f t="array" ref="J127">IFERROR(
        SMALL(
            IF($I$106:$I$130=1, ROW($I$106:$I$130)-ROW($I$106)+1),
            ROW(A22)
        ),"")</f>
        <v/>
      </c>
      <c r="K127" s="243" t="str" cm="1">
        <f t="array" ref="K127">IFERROR(
    INDEX(Ploegen,
        J127    ) &amp; " E",
"")</f>
        <v/>
      </c>
      <c r="L127" s="231" t="str" cm="1">
        <f t="array" ref="L127">IF(K127&lt;&gt;"",
INDEX(Ploegen!$H$3:$H$27,
    J127,
0),"")</f>
        <v/>
      </c>
      <c r="M127" s="231"/>
      <c r="N127" s="231"/>
      <c r="O127" s="231"/>
      <c r="P127" s="231"/>
      <c r="Q127" s="232"/>
      <c r="R127" t="str">
        <f t="shared" si="3"/>
        <v/>
      </c>
      <c r="S127" s="196" t="str">
        <f t="shared" si="4"/>
        <v/>
      </c>
    </row>
    <row r="128" spans="8:19" x14ac:dyDescent="0.2">
      <c r="H128" s="312"/>
      <c r="I128" s="243">
        <v>0</v>
      </c>
      <c r="J128" s="243" t="str" cm="1">
        <f t="array" ref="J128">IFERROR(
        SMALL(
            IF($I$106:$I$130=1, ROW($I$106:$I$130)-ROW($I$106)+1),
            ROW(A23)
        ),"")</f>
        <v/>
      </c>
      <c r="K128" s="243" t="str" cm="1">
        <f t="array" ref="K128">IFERROR(
    INDEX(Ploegen,
        J128    ) &amp; " E",
"")</f>
        <v/>
      </c>
      <c r="L128" s="231" t="str" cm="1">
        <f t="array" ref="L128">IF(K128&lt;&gt;"",
INDEX(Ploegen!$H$3:$H$27,
    J128,
0),"")</f>
        <v/>
      </c>
      <c r="M128" s="231"/>
      <c r="N128" s="231"/>
      <c r="O128" s="231"/>
      <c r="P128" s="231"/>
      <c r="Q128" s="232"/>
      <c r="R128" t="str">
        <f t="shared" si="3"/>
        <v/>
      </c>
      <c r="S128" s="196" t="str">
        <f t="shared" si="4"/>
        <v/>
      </c>
    </row>
    <row r="129" spans="8:19" x14ac:dyDescent="0.2">
      <c r="H129" s="312"/>
      <c r="I129" s="243">
        <v>0</v>
      </c>
      <c r="J129" s="243" t="str" cm="1">
        <f t="array" ref="J129">IFERROR(
        SMALL(
            IF($I$106:$I$130=1, ROW($I$106:$I$130)-ROW($I$106)+1),
            ROW(A24)
        ),"")</f>
        <v/>
      </c>
      <c r="K129" s="243" t="str" cm="1">
        <f t="array" ref="K129">IFERROR(
    INDEX(Ploegen,
        J129    ) &amp; " E",
"")</f>
        <v/>
      </c>
      <c r="L129" s="231" t="str" cm="1">
        <f t="array" ref="L129">IF(K129&lt;&gt;"",
INDEX(Ploegen!$H$3:$H$27,
    J129,
0),"")</f>
        <v/>
      </c>
      <c r="M129" s="231"/>
      <c r="N129" s="231"/>
      <c r="O129" s="231"/>
      <c r="P129" s="231"/>
      <c r="Q129" s="232"/>
      <c r="R129" t="str">
        <f t="shared" si="3"/>
        <v/>
      </c>
      <c r="S129" s="196" t="str">
        <f t="shared" si="4"/>
        <v/>
      </c>
    </row>
    <row r="130" spans="8:19" ht="13.5" thickBot="1" x14ac:dyDescent="0.25">
      <c r="H130" s="313"/>
      <c r="I130" s="244">
        <v>0</v>
      </c>
      <c r="J130" s="244" t="str" cm="1">
        <f t="array" ref="J130">IFERROR(
        SMALL(
            IF($I$106:$I$130=1, ROW($I$106:$I$130)-ROW($I$106)+1),
            ROW(A25)
        ),"")</f>
        <v/>
      </c>
      <c r="K130" s="244" t="str" cm="1">
        <f t="array" ref="K130">IFERROR(
    INDEX(Ploegen,
        J130    ) &amp; " E",
"")</f>
        <v/>
      </c>
      <c r="L130" s="234" t="str" cm="1">
        <f t="array" ref="L130">IF(K130&lt;&gt;"",
INDEX(Ploegen!$H$3:$H$27,
    J130,
0),"")</f>
        <v/>
      </c>
      <c r="M130" s="234"/>
      <c r="N130" s="234"/>
      <c r="O130" s="234"/>
      <c r="P130" s="234"/>
      <c r="Q130" s="235"/>
      <c r="R130" t="str">
        <f t="shared" si="3"/>
        <v/>
      </c>
      <c r="S130" s="196" t="str">
        <f t="shared" si="4"/>
        <v/>
      </c>
    </row>
    <row r="131" spans="8:19" x14ac:dyDescent="0.2">
      <c r="H131" s="311" t="s">
        <v>10</v>
      </c>
      <c r="I131" s="241" cm="1">
        <f t="array" ref="I131:I155">IFERROR((Uitslagen_F &gt;= Prijs_vanaf)*(Ploegen &lt;&gt; Stand)*(Minder_dan_6 = "")*(COUNT(Ploegen!D3:I27)&gt;2),0)</f>
        <v>0</v>
      </c>
      <c r="J131" s="241" t="str" cm="1">
        <f t="array" ref="J131">IFERROR(
        SMALL(
            IF($I$131:$I$155=1, ROW($I$131:$I$155)-ROW($I$131)+1),
            ROW(A1)
        ),"")</f>
        <v/>
      </c>
      <c r="K131" s="241" t="str" cm="1">
        <f t="array" ref="K131">IFERROR(
    INDEX(Ploegen,
        J131    ) &amp; " F",
"")</f>
        <v/>
      </c>
      <c r="L131" s="242" t="str" cm="1">
        <f t="array" ref="L131">IF(K131&lt;&gt;"",
INDEX(Ploegen!$I$3:$I$27,
    J131,
0),"")</f>
        <v/>
      </c>
      <c r="M131" s="242"/>
      <c r="N131" s="242"/>
      <c r="O131" s="242"/>
      <c r="P131" s="242"/>
      <c r="Q131" s="229"/>
      <c r="R131" t="str">
        <f t="shared" si="3"/>
        <v/>
      </c>
      <c r="S131" s="196" t="str">
        <f t="shared" si="4"/>
        <v/>
      </c>
    </row>
    <row r="132" spans="8:19" x14ac:dyDescent="0.2">
      <c r="H132" s="312"/>
      <c r="I132" s="243">
        <v>0</v>
      </c>
      <c r="J132" s="243" t="str" cm="1">
        <f t="array" ref="J132">IFERROR(
        SMALL(
            IF($I$131:$I$155=1, ROW($I$131:$I$155)-ROW($I$131)+1),
            ROW(A2)
        ),"")</f>
        <v/>
      </c>
      <c r="K132" s="243" t="str" cm="1">
        <f t="array" ref="K132">IFERROR(
    INDEX(Ploegen,
        J132    ) &amp; " F",
"")</f>
        <v/>
      </c>
      <c r="L132" s="231" t="str" cm="1">
        <f t="array" ref="L132">IF(K132&lt;&gt;"",
INDEX(Ploegen!$I$3:$I$27,
    J132,
0),"")</f>
        <v/>
      </c>
      <c r="M132" s="231"/>
      <c r="N132" s="231"/>
      <c r="O132" s="231"/>
      <c r="P132" s="231"/>
      <c r="Q132" s="232"/>
      <c r="R132" t="str">
        <f t="shared" si="3"/>
        <v/>
      </c>
      <c r="S132" s="196" t="str">
        <f t="shared" si="4"/>
        <v/>
      </c>
    </row>
    <row r="133" spans="8:19" x14ac:dyDescent="0.2">
      <c r="H133" s="312"/>
      <c r="I133" s="243">
        <v>0</v>
      </c>
      <c r="J133" s="243" t="str" cm="1">
        <f t="array" ref="J133">IFERROR(
        SMALL(
            IF($I$131:$I$155=1, ROW($I$131:$I$155)-ROW($I$131)+1),
            ROW(A3)
        ),"")</f>
        <v/>
      </c>
      <c r="K133" s="243" t="str" cm="1">
        <f t="array" ref="K133">IFERROR(
    INDEX(Ploegen,
        J133    ) &amp; " F",
"")</f>
        <v/>
      </c>
      <c r="L133" s="231" t="str" cm="1">
        <f t="array" ref="L133">IF(K133&lt;&gt;"",
INDEX(Ploegen!$I$3:$I$27,
    J133,
0),"")</f>
        <v/>
      </c>
      <c r="M133" s="231"/>
      <c r="N133" s="231"/>
      <c r="O133" s="231"/>
      <c r="P133" s="231"/>
      <c r="Q133" s="232"/>
      <c r="R133" t="str">
        <f t="shared" si="3"/>
        <v/>
      </c>
      <c r="S133" s="196" t="str">
        <f t="shared" si="4"/>
        <v/>
      </c>
    </row>
    <row r="134" spans="8:19" x14ac:dyDescent="0.2">
      <c r="H134" s="312"/>
      <c r="I134" s="243">
        <v>0</v>
      </c>
      <c r="J134" s="243" t="str" cm="1">
        <f t="array" ref="J134">IFERROR(
        SMALL(
            IF($I$131:$I$155=1, ROW($I$131:$I$155)-ROW($I$131)+1),
            ROW(A4)
        ),"")</f>
        <v/>
      </c>
      <c r="K134" s="243" t="str" cm="1">
        <f t="array" ref="K134">IFERROR(
    INDEX(Ploegen,
        J134    ) &amp; " F",
"")</f>
        <v/>
      </c>
      <c r="L134" s="231" t="str" cm="1">
        <f t="array" ref="L134">IF(K134&lt;&gt;"",
INDEX(Ploegen!$I$3:$I$27,
    J134,
0),"")</f>
        <v/>
      </c>
      <c r="M134" s="231"/>
      <c r="N134" s="231"/>
      <c r="O134" s="231"/>
      <c r="P134" s="231"/>
      <c r="Q134" s="232"/>
      <c r="R134" t="str">
        <f t="shared" si="3"/>
        <v/>
      </c>
      <c r="S134" s="196" t="str">
        <f t="shared" si="4"/>
        <v/>
      </c>
    </row>
    <row r="135" spans="8:19" x14ac:dyDescent="0.2">
      <c r="H135" s="312"/>
      <c r="I135" s="243">
        <v>0</v>
      </c>
      <c r="J135" s="243" t="str" cm="1">
        <f t="array" ref="J135">IFERROR(
        SMALL(
            IF($I$131:$I$155=1, ROW($I$131:$I$155)-ROW($I$131)+1),
            ROW(A5)
        ),"")</f>
        <v/>
      </c>
      <c r="K135" s="243" t="str" cm="1">
        <f t="array" ref="K135">IFERROR(
    INDEX(Ploegen,
        J135    ) &amp; " F",
"")</f>
        <v/>
      </c>
      <c r="L135" s="231" t="str" cm="1">
        <f t="array" ref="L135">IF(K135&lt;&gt;"",
INDEX(Ploegen!$I$3:$I$27,
    J135,
0),"")</f>
        <v/>
      </c>
      <c r="M135" s="231"/>
      <c r="N135" s="231"/>
      <c r="O135" s="231"/>
      <c r="P135" s="231"/>
      <c r="Q135" s="232"/>
      <c r="R135" t="str">
        <f t="shared" ref="R135:R155" si="5">IF(K135="","",IFERROR(L135*10^10 + M135*10^8 + N135*10^6 + O135*10^4 + P135*10^2 + Q135,0))</f>
        <v/>
      </c>
      <c r="S135" s="196" t="str">
        <f t="shared" ref="S135:S155" si="6">IF(K135="","",IFERROR(R135 + ROW()/100,0))</f>
        <v/>
      </c>
    </row>
    <row r="136" spans="8:19" x14ac:dyDescent="0.2">
      <c r="H136" s="312"/>
      <c r="I136" s="243">
        <v>0</v>
      </c>
      <c r="J136" s="243" t="str" cm="1">
        <f t="array" ref="J136">IFERROR(
        SMALL(
            IF($I$131:$I$155=1, ROW($I$131:$I$155)-ROW($I$131)+1),
            ROW(A6)
        ),"")</f>
        <v/>
      </c>
      <c r="K136" s="243" t="str" cm="1">
        <f t="array" ref="K136">IFERROR(
    INDEX(Ploegen,
        J136    ) &amp; " F",
"")</f>
        <v/>
      </c>
      <c r="L136" s="231" t="str" cm="1">
        <f t="array" ref="L136">IF(K136&lt;&gt;"",
INDEX(Ploegen!$I$3:$I$27,
    J136,
0),"")</f>
        <v/>
      </c>
      <c r="M136" s="231"/>
      <c r="N136" s="231"/>
      <c r="O136" s="231"/>
      <c r="P136" s="231"/>
      <c r="Q136" s="232"/>
      <c r="R136" t="str">
        <f t="shared" si="5"/>
        <v/>
      </c>
      <c r="S136" s="196" t="str">
        <f t="shared" si="6"/>
        <v/>
      </c>
    </row>
    <row r="137" spans="8:19" x14ac:dyDescent="0.2">
      <c r="H137" s="312"/>
      <c r="I137" s="243">
        <v>0</v>
      </c>
      <c r="J137" s="243" t="str" cm="1">
        <f t="array" ref="J137">IFERROR(
        SMALL(
            IF($I$131:$I$155=1, ROW($I$131:$I$155)-ROW($I$131)+1),
            ROW(A7)
        ),"")</f>
        <v/>
      </c>
      <c r="K137" s="243" t="str" cm="1">
        <f t="array" ref="K137">IFERROR(
    INDEX(Ploegen,
        J137    ) &amp; " F",
"")</f>
        <v/>
      </c>
      <c r="L137" s="231" t="str" cm="1">
        <f t="array" ref="L137">IF(K137&lt;&gt;"",
INDEX(Ploegen!$I$3:$I$27,
    J137,
0),"")</f>
        <v/>
      </c>
      <c r="M137" s="231"/>
      <c r="N137" s="231"/>
      <c r="O137" s="231"/>
      <c r="P137" s="231"/>
      <c r="Q137" s="232"/>
      <c r="R137" t="str">
        <f t="shared" si="5"/>
        <v/>
      </c>
      <c r="S137" s="196" t="str">
        <f t="shared" si="6"/>
        <v/>
      </c>
    </row>
    <row r="138" spans="8:19" x14ac:dyDescent="0.2">
      <c r="H138" s="312"/>
      <c r="I138" s="243">
        <v>0</v>
      </c>
      <c r="J138" s="243" t="str" cm="1">
        <f t="array" ref="J138">IFERROR(
        SMALL(
            IF($I$131:$I$155=1, ROW($I$131:$I$155)-ROW($I$131)+1),
            ROW(A8)
        ),"")</f>
        <v/>
      </c>
      <c r="K138" s="243" t="str" cm="1">
        <f t="array" ref="K138">IFERROR(
    INDEX(Ploegen,
        J138    ) &amp; " F",
"")</f>
        <v/>
      </c>
      <c r="L138" s="231" t="str" cm="1">
        <f t="array" ref="L138">IF(K138&lt;&gt;"",
INDEX(Ploegen!$I$3:$I$27,
    J138,
0),"")</f>
        <v/>
      </c>
      <c r="M138" s="231"/>
      <c r="N138" s="231"/>
      <c r="O138" s="231"/>
      <c r="P138" s="231"/>
      <c r="Q138" s="232"/>
      <c r="R138" t="str">
        <f t="shared" si="5"/>
        <v/>
      </c>
      <c r="S138" s="196" t="str">
        <f t="shared" si="6"/>
        <v/>
      </c>
    </row>
    <row r="139" spans="8:19" x14ac:dyDescent="0.2">
      <c r="H139" s="312"/>
      <c r="I139" s="243">
        <v>0</v>
      </c>
      <c r="J139" s="243" t="str" cm="1">
        <f t="array" ref="J139">IFERROR(
        SMALL(
            IF($I$131:$I$155=1, ROW($I$131:$I$155)-ROW($I$131)+1),
            ROW(A9)
        ),"")</f>
        <v/>
      </c>
      <c r="K139" s="243" t="str" cm="1">
        <f t="array" ref="K139">IFERROR(
    INDEX(Ploegen,
        J139    ) &amp; " F",
"")</f>
        <v/>
      </c>
      <c r="L139" s="231" t="str" cm="1">
        <f t="array" ref="L139">IF(K139&lt;&gt;"",
INDEX(Ploegen!$I$3:$I$27,
    J139,
0),"")</f>
        <v/>
      </c>
      <c r="M139" s="231"/>
      <c r="N139" s="231"/>
      <c r="O139" s="231"/>
      <c r="P139" s="231"/>
      <c r="Q139" s="232"/>
      <c r="R139" t="str">
        <f t="shared" si="5"/>
        <v/>
      </c>
      <c r="S139" s="196" t="str">
        <f t="shared" si="6"/>
        <v/>
      </c>
    </row>
    <row r="140" spans="8:19" x14ac:dyDescent="0.2">
      <c r="H140" s="312"/>
      <c r="I140" s="243">
        <v>0</v>
      </c>
      <c r="J140" s="243" t="str" cm="1">
        <f t="array" ref="J140">IFERROR(
        SMALL(
            IF($I$131:$I$155=1, ROW($I$131:$I$155)-ROW($I$131)+1),
            ROW(A10)
        ),"")</f>
        <v/>
      </c>
      <c r="K140" s="243" t="str" cm="1">
        <f t="array" ref="K140">IFERROR(
    INDEX(Ploegen,
        J140    ) &amp; " F",
"")</f>
        <v/>
      </c>
      <c r="L140" s="231" t="str" cm="1">
        <f t="array" ref="L140">IF(K140&lt;&gt;"",
INDEX(Ploegen!$I$3:$I$27,
    J140,
0),"")</f>
        <v/>
      </c>
      <c r="M140" s="231"/>
      <c r="N140" s="231"/>
      <c r="O140" s="231"/>
      <c r="P140" s="231"/>
      <c r="Q140" s="232"/>
      <c r="R140" t="str">
        <f t="shared" si="5"/>
        <v/>
      </c>
      <c r="S140" s="196" t="str">
        <f t="shared" si="6"/>
        <v/>
      </c>
    </row>
    <row r="141" spans="8:19" x14ac:dyDescent="0.2">
      <c r="H141" s="312"/>
      <c r="I141" s="243">
        <v>0</v>
      </c>
      <c r="J141" s="243" t="str" cm="1">
        <f t="array" ref="J141">IFERROR(
        SMALL(
            IF($I$131:$I$155=1, ROW($I$131:$I$155)-ROW($I$131)+1),
            ROW(A11)
        ),"")</f>
        <v/>
      </c>
      <c r="K141" s="243" t="str" cm="1">
        <f t="array" ref="K141">IFERROR(
    INDEX(Ploegen,
        J141    ) &amp; " F",
"")</f>
        <v/>
      </c>
      <c r="L141" s="231" t="str" cm="1">
        <f t="array" ref="L141">IF(K141&lt;&gt;"",
INDEX(Ploegen!$I$3:$I$27,
    J141,
0),"")</f>
        <v/>
      </c>
      <c r="M141" s="231"/>
      <c r="N141" s="231"/>
      <c r="O141" s="231"/>
      <c r="P141" s="231"/>
      <c r="Q141" s="232"/>
      <c r="R141" t="str">
        <f t="shared" si="5"/>
        <v/>
      </c>
      <c r="S141" s="196" t="str">
        <f t="shared" si="6"/>
        <v/>
      </c>
    </row>
    <row r="142" spans="8:19" x14ac:dyDescent="0.2">
      <c r="H142" s="312"/>
      <c r="I142" s="243">
        <v>0</v>
      </c>
      <c r="J142" s="243" t="str" cm="1">
        <f t="array" ref="J142">IFERROR(
        SMALL(
            IF($I$131:$I$155=1, ROW($I$131:$I$155)-ROW($I$131)+1),
            ROW(A12)
        ),"")</f>
        <v/>
      </c>
      <c r="K142" s="243" t="str" cm="1">
        <f t="array" ref="K142">IFERROR(
    INDEX(Ploegen,
        J142    ) &amp; " F",
"")</f>
        <v/>
      </c>
      <c r="L142" s="231" t="str" cm="1">
        <f t="array" ref="L142">IF(K142&lt;&gt;"",
INDEX(Ploegen!$I$3:$I$27,
    J142,
0),"")</f>
        <v/>
      </c>
      <c r="M142" s="231"/>
      <c r="N142" s="231"/>
      <c r="O142" s="231"/>
      <c r="P142" s="231"/>
      <c r="Q142" s="232"/>
      <c r="R142" t="str">
        <f t="shared" si="5"/>
        <v/>
      </c>
      <c r="S142" s="196" t="str">
        <f t="shared" si="6"/>
        <v/>
      </c>
    </row>
    <row r="143" spans="8:19" x14ac:dyDescent="0.2">
      <c r="H143" s="312"/>
      <c r="I143" s="243">
        <v>0</v>
      </c>
      <c r="J143" s="243" t="str" cm="1">
        <f t="array" ref="J143">IFERROR(
        SMALL(
            IF($I$131:$I$155=1, ROW($I$131:$I$155)-ROW($I$131)+1),
            ROW(A13)
        ),"")</f>
        <v/>
      </c>
      <c r="K143" s="243" t="str" cm="1">
        <f t="array" ref="K143">IFERROR(
    INDEX(Ploegen,
        J143    ) &amp; " F",
"")</f>
        <v/>
      </c>
      <c r="L143" s="231" t="str" cm="1">
        <f t="array" ref="L143">IF(K143&lt;&gt;"",
INDEX(Ploegen!$I$3:$I$27,
    J143,
0),"")</f>
        <v/>
      </c>
      <c r="M143" s="231"/>
      <c r="N143" s="231"/>
      <c r="O143" s="231"/>
      <c r="P143" s="231"/>
      <c r="Q143" s="232"/>
      <c r="R143" t="str">
        <f t="shared" si="5"/>
        <v/>
      </c>
      <c r="S143" s="196" t="str">
        <f t="shared" si="6"/>
        <v/>
      </c>
    </row>
    <row r="144" spans="8:19" x14ac:dyDescent="0.2">
      <c r="H144" s="312"/>
      <c r="I144" s="243">
        <v>0</v>
      </c>
      <c r="J144" s="243" t="str" cm="1">
        <f t="array" ref="J144">IFERROR(
        SMALL(
            IF($I$131:$I$155=1, ROW($I$131:$I$155)-ROW($I$131)+1),
            ROW(A14)
        ),"")</f>
        <v/>
      </c>
      <c r="K144" s="243" t="str" cm="1">
        <f t="array" ref="K144">IFERROR(
    INDEX(Ploegen,
        J144    ) &amp; " F",
"")</f>
        <v/>
      </c>
      <c r="L144" s="231" t="str" cm="1">
        <f t="array" ref="L144">IF(K144&lt;&gt;"",
INDEX(Ploegen!$I$3:$I$27,
    J144,
0),"")</f>
        <v/>
      </c>
      <c r="M144" s="231"/>
      <c r="N144" s="231"/>
      <c r="O144" s="231"/>
      <c r="P144" s="231"/>
      <c r="Q144" s="232"/>
      <c r="R144" t="str">
        <f t="shared" si="5"/>
        <v/>
      </c>
      <c r="S144" s="196" t="str">
        <f t="shared" si="6"/>
        <v/>
      </c>
    </row>
    <row r="145" spans="8:19" x14ac:dyDescent="0.2">
      <c r="H145" s="312"/>
      <c r="I145" s="243">
        <v>0</v>
      </c>
      <c r="J145" s="243" t="str" cm="1">
        <f t="array" ref="J145">IFERROR(
        SMALL(
            IF($I$131:$I$155=1, ROW($I$131:$I$155)-ROW($I$131)+1),
            ROW(A15)
        ),"")</f>
        <v/>
      </c>
      <c r="K145" s="243" t="str" cm="1">
        <f t="array" ref="K145">IFERROR(
    INDEX(Ploegen,
        J145    ) &amp; " F",
"")</f>
        <v/>
      </c>
      <c r="L145" s="231" t="str" cm="1">
        <f t="array" ref="L145">IF(K145&lt;&gt;"",
INDEX(Ploegen!$I$3:$I$27,
    J145,
0),"")</f>
        <v/>
      </c>
      <c r="M145" s="231"/>
      <c r="N145" s="231"/>
      <c r="O145" s="231"/>
      <c r="P145" s="231"/>
      <c r="Q145" s="232"/>
      <c r="R145" t="str">
        <f t="shared" si="5"/>
        <v/>
      </c>
      <c r="S145" s="196" t="str">
        <f t="shared" si="6"/>
        <v/>
      </c>
    </row>
    <row r="146" spans="8:19" x14ac:dyDescent="0.2">
      <c r="H146" s="312"/>
      <c r="I146" s="243">
        <v>0</v>
      </c>
      <c r="J146" s="243" t="str" cm="1">
        <f t="array" ref="J146">IFERROR(
        SMALL(
            IF($I$131:$I$155=1, ROW($I$131:$I$155)-ROW($I$131)+1),
            ROW(A16)
        ),"")</f>
        <v/>
      </c>
      <c r="K146" s="243" t="str" cm="1">
        <f t="array" ref="K146">IFERROR(
    INDEX(Ploegen,
        J146    ) &amp; " F",
"")</f>
        <v/>
      </c>
      <c r="L146" s="231" t="str" cm="1">
        <f t="array" ref="L146">IF(K146&lt;&gt;"",
INDEX(Ploegen!$I$3:$I$27,
    J146,
0),"")</f>
        <v/>
      </c>
      <c r="M146" s="231"/>
      <c r="N146" s="231"/>
      <c r="O146" s="231"/>
      <c r="P146" s="231"/>
      <c r="Q146" s="232"/>
      <c r="R146" t="str">
        <f t="shared" si="5"/>
        <v/>
      </c>
      <c r="S146" s="196" t="str">
        <f t="shared" si="6"/>
        <v/>
      </c>
    </row>
    <row r="147" spans="8:19" x14ac:dyDescent="0.2">
      <c r="H147" s="312"/>
      <c r="I147" s="243">
        <v>0</v>
      </c>
      <c r="J147" s="243" t="str" cm="1">
        <f t="array" ref="J147">IFERROR(
        SMALL(
            IF($I$131:$I$155=1, ROW($I$131:$I$155)-ROW($I$131)+1),
            ROW(A17)
        ),"")</f>
        <v/>
      </c>
      <c r="K147" s="243" t="str" cm="1">
        <f t="array" ref="K147">IFERROR(
    INDEX(Ploegen,
        J147    ) &amp; " F",
"")</f>
        <v/>
      </c>
      <c r="L147" s="231" t="str" cm="1">
        <f t="array" ref="L147">IF(K147&lt;&gt;"",
INDEX(Ploegen!$I$3:$I$27,
    J147,
0),"")</f>
        <v/>
      </c>
      <c r="M147" s="231"/>
      <c r="N147" s="231"/>
      <c r="O147" s="231"/>
      <c r="P147" s="231"/>
      <c r="Q147" s="232"/>
      <c r="R147" t="str">
        <f t="shared" si="5"/>
        <v/>
      </c>
      <c r="S147" s="196" t="str">
        <f t="shared" si="6"/>
        <v/>
      </c>
    </row>
    <row r="148" spans="8:19" x14ac:dyDescent="0.2">
      <c r="H148" s="312"/>
      <c r="I148" s="243">
        <v>0</v>
      </c>
      <c r="J148" s="243" t="str" cm="1">
        <f t="array" ref="J148">IFERROR(
        SMALL(
            IF($I$131:$I$155=1, ROW($I$131:$I$155)-ROW($I$131)+1),
            ROW(A18)
        ),"")</f>
        <v/>
      </c>
      <c r="K148" s="243" t="str" cm="1">
        <f t="array" ref="K148">IFERROR(
    INDEX(Ploegen,
        J148    ) &amp; " F",
"")</f>
        <v/>
      </c>
      <c r="L148" s="231" t="str" cm="1">
        <f t="array" ref="L148">IF(K148&lt;&gt;"",
INDEX(Ploegen!$I$3:$I$27,
    J148,
0),"")</f>
        <v/>
      </c>
      <c r="M148" s="231"/>
      <c r="N148" s="231"/>
      <c r="O148" s="231"/>
      <c r="P148" s="231"/>
      <c r="Q148" s="232"/>
      <c r="R148" t="str">
        <f t="shared" si="5"/>
        <v/>
      </c>
      <c r="S148" s="196" t="str">
        <f t="shared" si="6"/>
        <v/>
      </c>
    </row>
    <row r="149" spans="8:19" x14ac:dyDescent="0.2">
      <c r="H149" s="312"/>
      <c r="I149" s="243">
        <v>0</v>
      </c>
      <c r="J149" s="243" t="str" cm="1">
        <f t="array" ref="J149">IFERROR(
        SMALL(
            IF($I$131:$I$155=1, ROW($I$131:$I$155)-ROW($I$131)+1),
            ROW(A19)
        ),"")</f>
        <v/>
      </c>
      <c r="K149" s="243" t="str" cm="1">
        <f t="array" ref="K149">IFERROR(
    INDEX(Ploegen,
        J149    ) &amp; " F",
"")</f>
        <v/>
      </c>
      <c r="L149" s="231" t="str" cm="1">
        <f t="array" ref="L149">IF(K149&lt;&gt;"",
INDEX(Ploegen!$I$3:$I$27,
    J149,
0),"")</f>
        <v/>
      </c>
      <c r="M149" s="231"/>
      <c r="N149" s="231"/>
      <c r="O149" s="231"/>
      <c r="P149" s="231"/>
      <c r="Q149" s="232"/>
      <c r="R149" t="str">
        <f t="shared" si="5"/>
        <v/>
      </c>
      <c r="S149" s="196" t="str">
        <f t="shared" si="6"/>
        <v/>
      </c>
    </row>
    <row r="150" spans="8:19" x14ac:dyDescent="0.2">
      <c r="H150" s="312"/>
      <c r="I150" s="243">
        <v>0</v>
      </c>
      <c r="J150" s="243" t="str" cm="1">
        <f t="array" ref="J150">IFERROR(
        SMALL(
            IF($I$131:$I$155=1, ROW($I$131:$I$155)-ROW($I$131)+1),
            ROW(A20)
        ),"")</f>
        <v/>
      </c>
      <c r="K150" s="243" t="str" cm="1">
        <f t="array" ref="K150">IFERROR(
    INDEX(Ploegen,
        J150    ) &amp; " F",
"")</f>
        <v/>
      </c>
      <c r="L150" s="231" t="str" cm="1">
        <f t="array" ref="L150">IF(K150&lt;&gt;"",
INDEX(Ploegen!$I$3:$I$27,
    J150,
0),"")</f>
        <v/>
      </c>
      <c r="M150" s="231"/>
      <c r="N150" s="231"/>
      <c r="O150" s="231"/>
      <c r="P150" s="231"/>
      <c r="Q150" s="232"/>
      <c r="R150" t="str">
        <f t="shared" si="5"/>
        <v/>
      </c>
      <c r="S150" s="196" t="str">
        <f t="shared" si="6"/>
        <v/>
      </c>
    </row>
    <row r="151" spans="8:19" x14ac:dyDescent="0.2">
      <c r="H151" s="312"/>
      <c r="I151" s="243">
        <v>0</v>
      </c>
      <c r="J151" s="243" t="str" cm="1">
        <f t="array" ref="J151">IFERROR(
        SMALL(
            IF($I$131:$I$155=1, ROW($I$131:$I$155)-ROW($I$131)+1),
            ROW(A21)
        ),"")</f>
        <v/>
      </c>
      <c r="K151" s="243" t="str" cm="1">
        <f t="array" ref="K151">IFERROR(
    INDEX(Ploegen,
        J151    ) &amp; " F",
"")</f>
        <v/>
      </c>
      <c r="L151" s="231" t="str" cm="1">
        <f t="array" ref="L151">IF(K151&lt;&gt;"",
INDEX(Ploegen!$I$3:$I$27,
    J151,
0),"")</f>
        <v/>
      </c>
      <c r="M151" s="231"/>
      <c r="N151" s="231"/>
      <c r="O151" s="231"/>
      <c r="P151" s="231"/>
      <c r="Q151" s="232"/>
      <c r="R151" t="str">
        <f t="shared" si="5"/>
        <v/>
      </c>
      <c r="S151" s="196" t="str">
        <f t="shared" si="6"/>
        <v/>
      </c>
    </row>
    <row r="152" spans="8:19" x14ac:dyDescent="0.2">
      <c r="H152" s="312"/>
      <c r="I152" s="243">
        <v>0</v>
      </c>
      <c r="J152" s="243" t="str" cm="1">
        <f t="array" ref="J152">IFERROR(
        SMALL(
            IF($I$131:$I$155=1, ROW($I$131:$I$155)-ROW($I$131)+1),
            ROW(A22)
        ),"")</f>
        <v/>
      </c>
      <c r="K152" s="243" t="str" cm="1">
        <f t="array" ref="K152">IFERROR(
    INDEX(Ploegen,
        J152    ) &amp; " F",
"")</f>
        <v/>
      </c>
      <c r="L152" s="231" t="str" cm="1">
        <f t="array" ref="L152">IF(K152&lt;&gt;"",
INDEX(Ploegen!$I$3:$I$27,
    J152,
0),"")</f>
        <v/>
      </c>
      <c r="M152" s="231"/>
      <c r="N152" s="231"/>
      <c r="O152" s="231"/>
      <c r="P152" s="231"/>
      <c r="Q152" s="232"/>
      <c r="R152" t="str">
        <f t="shared" si="5"/>
        <v/>
      </c>
      <c r="S152" s="196" t="str">
        <f t="shared" si="6"/>
        <v/>
      </c>
    </row>
    <row r="153" spans="8:19" x14ac:dyDescent="0.2">
      <c r="H153" s="312"/>
      <c r="I153" s="243">
        <v>0</v>
      </c>
      <c r="J153" s="243" t="str" cm="1">
        <f t="array" ref="J153">IFERROR(
        SMALL(
            IF($I$131:$I$155=1, ROW($I$131:$I$155)-ROW($I$131)+1),
            ROW(A23)
        ),"")</f>
        <v/>
      </c>
      <c r="K153" s="243" t="str" cm="1">
        <f t="array" ref="K153">IFERROR(
    INDEX(Ploegen,
        J153    ) &amp; " F",
"")</f>
        <v/>
      </c>
      <c r="L153" s="231" t="str" cm="1">
        <f t="array" ref="L153">IF(K153&lt;&gt;"",
INDEX(Ploegen!$I$3:$I$27,
    J153,
0),"")</f>
        <v/>
      </c>
      <c r="M153" s="231"/>
      <c r="N153" s="231"/>
      <c r="O153" s="231"/>
      <c r="P153" s="231"/>
      <c r="Q153" s="232"/>
      <c r="R153" t="str">
        <f t="shared" si="5"/>
        <v/>
      </c>
      <c r="S153" s="196" t="str">
        <f t="shared" si="6"/>
        <v/>
      </c>
    </row>
    <row r="154" spans="8:19" x14ac:dyDescent="0.2">
      <c r="H154" s="312"/>
      <c r="I154" s="243">
        <v>0</v>
      </c>
      <c r="J154" s="243" t="str" cm="1">
        <f t="array" ref="J154">IFERROR(
        SMALL(
            IF($I$131:$I$155=1, ROW($I$131:$I$155)-ROW($I$131)+1),
            ROW(A24)
        ),"")</f>
        <v/>
      </c>
      <c r="K154" s="243" t="str" cm="1">
        <f t="array" ref="K154">IFERROR(
    INDEX(Ploegen,
        J154    ) &amp; " F",
"")</f>
        <v/>
      </c>
      <c r="L154" s="231" t="str" cm="1">
        <f t="array" ref="L154">IF(K154&lt;&gt;"",
INDEX(Ploegen!$I$3:$I$27,
    J154,
0),"")</f>
        <v/>
      </c>
      <c r="M154" s="231"/>
      <c r="N154" s="231"/>
      <c r="O154" s="231"/>
      <c r="P154" s="231"/>
      <c r="Q154" s="232"/>
      <c r="R154" t="str">
        <f t="shared" si="5"/>
        <v/>
      </c>
      <c r="S154" s="196" t="str">
        <f t="shared" si="6"/>
        <v/>
      </c>
    </row>
    <row r="155" spans="8:19" ht="13.5" thickBot="1" x14ac:dyDescent="0.25">
      <c r="H155" s="313"/>
      <c r="I155" s="244">
        <v>0</v>
      </c>
      <c r="J155" s="244" t="str" cm="1">
        <f t="array" ref="J155">IFERROR(
        SMALL(
            IF($I$131:$I$155=1, ROW($I$131:$I$155)-ROW($I$131)+1),
            ROW(A25)
        ),"")</f>
        <v/>
      </c>
      <c r="K155" s="244" t="str" cm="1">
        <f t="array" ref="K155">IFERROR(
    INDEX(Ploegen,
        J155    ) &amp; " F",
"")</f>
        <v/>
      </c>
      <c r="L155" s="234" t="str" cm="1">
        <f t="array" ref="L155">IF(K155&lt;&gt;"",
INDEX(Ploegen!$I$3:$I$27,
    J155,
0),"")</f>
        <v/>
      </c>
      <c r="M155" s="234"/>
      <c r="N155" s="234"/>
      <c r="O155" s="234"/>
      <c r="P155" s="234"/>
      <c r="Q155" s="235"/>
      <c r="R155" t="str">
        <f t="shared" si="5"/>
        <v/>
      </c>
      <c r="S155" s="196" t="str">
        <f t="shared" si="6"/>
        <v/>
      </c>
    </row>
  </sheetData>
  <mergeCells count="14">
    <mergeCell ref="H131:H155"/>
    <mergeCell ref="H106:H130"/>
    <mergeCell ref="H81:H105"/>
    <mergeCell ref="H56:H80"/>
    <mergeCell ref="D22:D23"/>
    <mergeCell ref="E22:E23"/>
    <mergeCell ref="F22:F23"/>
    <mergeCell ref="E4:F4"/>
    <mergeCell ref="E8:F8"/>
    <mergeCell ref="H4:S4"/>
    <mergeCell ref="H31:H55"/>
    <mergeCell ref="H6:H30"/>
    <mergeCell ref="F16:F17"/>
    <mergeCell ref="E16:E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45"/>
  <sheetViews>
    <sheetView showGridLines="0" workbookViewId="0">
      <selection activeCell="E17" sqref="E17"/>
    </sheetView>
  </sheetViews>
  <sheetFormatPr defaultColWidth="0" defaultRowHeight="21" zeroHeight="1" x14ac:dyDescent="0.35"/>
  <cols>
    <col min="1" max="1" width="4.42578125" style="35" customWidth="1"/>
    <col min="2" max="2" width="14.42578125" style="35" customWidth="1"/>
    <col min="3" max="3" width="9.28515625" style="35" customWidth="1"/>
    <col min="4" max="4" width="8.28515625" style="35" customWidth="1"/>
    <col min="5" max="5" width="13.7109375" style="35" customWidth="1"/>
    <col min="6" max="6" width="23.140625" style="35" customWidth="1"/>
    <col min="7" max="7" width="22.7109375" style="35" customWidth="1"/>
    <col min="8" max="8" width="0.85546875" style="35" customWidth="1"/>
    <col min="9" max="10" width="11.5703125" style="35" hidden="1" customWidth="1"/>
    <col min="11" max="11" width="14.85546875" style="35" hidden="1" customWidth="1"/>
    <col min="12" max="16384" width="11.5703125" style="35" hidden="1"/>
  </cols>
  <sheetData>
    <row r="1" spans="1:11" ht="13.5" customHeight="1" x14ac:dyDescent="0.35">
      <c r="B1" s="324" t="s">
        <v>63</v>
      </c>
      <c r="C1" s="324"/>
      <c r="D1" s="324"/>
      <c r="E1" s="324"/>
      <c r="F1" s="324"/>
      <c r="G1" s="324"/>
    </row>
    <row r="2" spans="1:11" ht="14.25" customHeight="1" x14ac:dyDescent="0.35">
      <c r="B2" s="324"/>
      <c r="C2" s="324"/>
      <c r="D2" s="324"/>
      <c r="E2" s="324"/>
      <c r="F2" s="324"/>
      <c r="G2" s="324"/>
    </row>
    <row r="3" spans="1:11" ht="10.5" customHeight="1" x14ac:dyDescent="0.35">
      <c r="G3" s="39"/>
    </row>
    <row r="4" spans="1:11" x14ac:dyDescent="0.35">
      <c r="B4" s="325" t="str">
        <f>Ploegen!C1</f>
        <v>VRIENDENSCHIETING - LAREN</v>
      </c>
      <c r="C4" s="325"/>
      <c r="D4" s="325"/>
      <c r="E4" s="325"/>
      <c r="F4" s="325"/>
      <c r="G4" s="38">
        <f>Ploegen!AK18</f>
        <v>46172</v>
      </c>
    </row>
    <row r="5" spans="1:11" ht="10.5" customHeight="1" x14ac:dyDescent="0.35">
      <c r="G5" s="39"/>
    </row>
    <row r="6" spans="1:11" x14ac:dyDescent="0.35">
      <c r="B6" s="271" t="s">
        <v>64</v>
      </c>
      <c r="C6" s="277"/>
      <c r="D6" s="272"/>
      <c r="E6" s="36" t="s">
        <v>65</v>
      </c>
      <c r="F6" s="36" t="s">
        <v>66</v>
      </c>
      <c r="G6" s="36" t="s">
        <v>67</v>
      </c>
      <c r="K6" s="35" t="s">
        <v>129</v>
      </c>
    </row>
    <row r="7" spans="1:11" x14ac:dyDescent="0.35">
      <c r="A7" s="35" t="str">
        <f>_xlfn.IFNA(INDEX(Ploegen!$B$3:$B$27,MATCH(B7,Ploegen,0)),"")</f>
        <v/>
      </c>
      <c r="B7" s="271" t="str" cm="1">
        <f t="array" ref="B7">IFERROR(
  INDEX(tbl_ploegen,SMALL(Ploegen!$AG$3:$AG$27,ROW(A1))-2,1),
  ""
)</f>
        <v/>
      </c>
      <c r="C7" s="277"/>
      <c r="D7" s="272"/>
      <c r="E7" s="37" t="str" cm="1">
        <f t="array" aca="1" ref="E7" ca="1">IF(_xlfn.IFNA(INDIRECT("'enveloppen'!I" &amp; MATCH(B7,enveloppen!A:A,0)+4),"")&lt;&gt;0,_xlfn.IFNA(INDIRECT("'enveloppen'!I" &amp; MATCH(B7,enveloppen!A:A,0)+4),""),"")</f>
        <v/>
      </c>
      <c r="F7" s="36"/>
      <c r="G7" s="36"/>
      <c r="K7" s="35" t="s">
        <v>128</v>
      </c>
    </row>
    <row r="8" spans="1:11" x14ac:dyDescent="0.35">
      <c r="A8" s="35" t="str">
        <f>_xlfn.IFNA(INDEX(Ploegen!$B$3:$B$27,MATCH(B8,Ploegen,0)),"")</f>
        <v/>
      </c>
      <c r="B8" s="271" t="str" cm="1">
        <f t="array" ref="B8">IFERROR(
  INDEX(tbl_ploegen,SMALL(Ploegen!$AG$3:$AG$27,ROW(A2))-2,1),
  ""
)</f>
        <v/>
      </c>
      <c r="C8" s="277"/>
      <c r="D8" s="272"/>
      <c r="E8" s="37" t="str" cm="1">
        <f t="array" aca="1" ref="E8" ca="1">IF(_xlfn.IFNA(INDIRECT("'enveloppen'!I" &amp; MATCH(B8,enveloppen!A:A,0)+4),"")&lt;&gt;0,_xlfn.IFNA(INDIRECT("'enveloppen'!I" &amp; MATCH(B8,enveloppen!A:A,0)+4),""),"")</f>
        <v/>
      </c>
      <c r="F8" s="36"/>
      <c r="G8" s="36"/>
    </row>
    <row r="9" spans="1:11" x14ac:dyDescent="0.35">
      <c r="A9" s="35" t="str">
        <f>_xlfn.IFNA(INDEX(Ploegen!$B$3:$B$27,MATCH(B9,Ploegen,0)),"")</f>
        <v/>
      </c>
      <c r="B9" s="271" t="str" cm="1">
        <f t="array" ref="B9">IFERROR(
  INDEX(tbl_ploegen,SMALL(Ploegen!$AG$3:$AG$27,ROW(A3))-2,1),
  ""
)</f>
        <v/>
      </c>
      <c r="C9" s="277"/>
      <c r="D9" s="272"/>
      <c r="E9" s="37" t="str" cm="1">
        <f t="array" aca="1" ref="E9" ca="1">IF(_xlfn.IFNA(INDIRECT("'enveloppen'!I" &amp; MATCH(B9,enveloppen!A:A,0)+4),"")&lt;&gt;0,_xlfn.IFNA(INDIRECT("'enveloppen'!I" &amp; MATCH(B9,enveloppen!A:A,0)+4),""),"")</f>
        <v/>
      </c>
      <c r="F9" s="36"/>
      <c r="G9" s="36"/>
    </row>
    <row r="10" spans="1:11" x14ac:dyDescent="0.35">
      <c r="A10" s="35" t="str">
        <f>_xlfn.IFNA(INDEX(Ploegen!$B$3:$B$27,MATCH(B10,Ploegen,0)),"")</f>
        <v/>
      </c>
      <c r="B10" s="271" t="str" cm="1">
        <f t="array" ref="B10">IFERROR(
  INDEX(tbl_ploegen,SMALL(Ploegen!$AG$3:$AG$27,ROW(A4))-2,1),
  ""
)</f>
        <v/>
      </c>
      <c r="C10" s="277"/>
      <c r="D10" s="272"/>
      <c r="E10" s="37" t="str" cm="1">
        <f t="array" aca="1" ref="E10" ca="1">IF(_xlfn.IFNA(INDIRECT("'enveloppen'!I" &amp; MATCH(B10,enveloppen!A:A,0)+4),"")&lt;&gt;0,_xlfn.IFNA(INDIRECT("'enveloppen'!I" &amp; MATCH(B10,enveloppen!A:A,0)+4),""),"")</f>
        <v/>
      </c>
      <c r="F10" s="36"/>
      <c r="G10" s="36"/>
    </row>
    <row r="11" spans="1:11" x14ac:dyDescent="0.35">
      <c r="A11" s="35" t="str">
        <f>_xlfn.IFNA(INDEX(Ploegen!$B$3:$B$27,MATCH(B11,Ploegen,0)),"")</f>
        <v/>
      </c>
      <c r="B11" s="271" t="str" cm="1">
        <f t="array" ref="B11">IFERROR(
  INDEX(tbl_ploegen,SMALL(Ploegen!$AG$3:$AG$27,ROW(A5))-2,1),
  ""
)</f>
        <v/>
      </c>
      <c r="C11" s="277"/>
      <c r="D11" s="272"/>
      <c r="E11" s="37" t="str" cm="1">
        <f t="array" aca="1" ref="E11" ca="1">IF(_xlfn.IFNA(INDIRECT("'enveloppen'!I" &amp; MATCH(B11,enveloppen!A:A,0)+4),"")&lt;&gt;0,_xlfn.IFNA(INDIRECT("'enveloppen'!I" &amp; MATCH(B11,enveloppen!A:A,0)+4),""),"")</f>
        <v/>
      </c>
      <c r="F11" s="36"/>
      <c r="G11" s="36"/>
    </row>
    <row r="12" spans="1:11" x14ac:dyDescent="0.35">
      <c r="A12" s="35" t="str">
        <f>_xlfn.IFNA(INDEX(Ploegen!$B$3:$B$27,MATCH(B12,Ploegen,0)),"")</f>
        <v/>
      </c>
      <c r="B12" s="271" t="str" cm="1">
        <f t="array" ref="B12">IFERROR(
  INDEX(tbl_ploegen,SMALL(Ploegen!$AG$3:$AG$27,ROW(A6))-2,1),
  ""
)</f>
        <v/>
      </c>
      <c r="C12" s="277"/>
      <c r="D12" s="272"/>
      <c r="E12" s="37" t="str" cm="1">
        <f t="array" aca="1" ref="E12" ca="1">IF(_xlfn.IFNA(INDIRECT("'enveloppen'!I" &amp; MATCH(B12,enveloppen!A:A,0)+4),"")&lt;&gt;0,_xlfn.IFNA(INDIRECT("'enveloppen'!I" &amp; MATCH(B12,enveloppen!A:A,0)+4),""),"")</f>
        <v/>
      </c>
      <c r="F12" s="36"/>
      <c r="G12" s="36"/>
    </row>
    <row r="13" spans="1:11" x14ac:dyDescent="0.35">
      <c r="A13" s="35" t="str">
        <f>_xlfn.IFNA(INDEX(Ploegen!$B$3:$B$27,MATCH(B13,Ploegen,0)),"")</f>
        <v/>
      </c>
      <c r="B13" s="271" t="str" cm="1">
        <f t="array" ref="B13">IFERROR(
  INDEX(tbl_ploegen,SMALL(Ploegen!$AG$3:$AG$27,ROW(A7))-2,1),
  ""
)</f>
        <v/>
      </c>
      <c r="C13" s="277"/>
      <c r="D13" s="272"/>
      <c r="E13" s="37" t="str" cm="1">
        <f t="array" aca="1" ref="E13" ca="1">IF(_xlfn.IFNA(INDIRECT("'enveloppen'!I" &amp; MATCH(B13,enveloppen!A:A,0)+4),"")&lt;&gt;0,_xlfn.IFNA(INDIRECT("'enveloppen'!I" &amp; MATCH(B13,enveloppen!A:A,0)+4),""),"")</f>
        <v/>
      </c>
      <c r="F13" s="36"/>
      <c r="G13" s="36"/>
    </row>
    <row r="14" spans="1:11" x14ac:dyDescent="0.35">
      <c r="A14" s="35" t="str">
        <f>_xlfn.IFNA(INDEX(Ploegen!$B$3:$B$27,MATCH(B14,Ploegen,0)),"")</f>
        <v/>
      </c>
      <c r="B14" s="271" t="str" cm="1">
        <f t="array" ref="B14">IFERROR(
  INDEX(tbl_ploegen,SMALL(Ploegen!$AG$3:$AG$27,ROW(A8))-2,1),
  ""
)</f>
        <v/>
      </c>
      <c r="C14" s="277"/>
      <c r="D14" s="272"/>
      <c r="E14" s="37" t="str" cm="1">
        <f t="array" aca="1" ref="E14" ca="1">IF(_xlfn.IFNA(INDIRECT("'enveloppen'!I" &amp; MATCH(B14,enveloppen!A:A,0)+4),"")&lt;&gt;0,_xlfn.IFNA(INDIRECT("'enveloppen'!I" &amp; MATCH(B14,enveloppen!A:A,0)+4),""),"")</f>
        <v/>
      </c>
      <c r="F14" s="36"/>
      <c r="G14" s="36"/>
    </row>
    <row r="15" spans="1:11" x14ac:dyDescent="0.35">
      <c r="A15" s="35" t="str">
        <f>_xlfn.IFNA(INDEX(Ploegen!$B$3:$B$27,MATCH(B15,Ploegen,0)),"")</f>
        <v/>
      </c>
      <c r="B15" s="271" t="str" cm="1">
        <f t="array" ref="B15">IFERROR(
  INDEX(tbl_ploegen,SMALL(Ploegen!$AG$3:$AG$27,ROW(A9))-2,1),
  ""
)</f>
        <v/>
      </c>
      <c r="C15" s="277"/>
      <c r="D15" s="272"/>
      <c r="E15" s="37" t="str" cm="1">
        <f t="array" aca="1" ref="E15" ca="1">IF(_xlfn.IFNA(INDIRECT("'enveloppen'!I" &amp; MATCH(B15,enveloppen!A:A,0)+4),"")&lt;&gt;0,_xlfn.IFNA(INDIRECT("'enveloppen'!I" &amp; MATCH(B15,enveloppen!A:A,0)+4),""),"")</f>
        <v/>
      </c>
      <c r="F15" s="36"/>
      <c r="G15" s="36"/>
    </row>
    <row r="16" spans="1:11" x14ac:dyDescent="0.35">
      <c r="A16" s="35" t="str">
        <f>_xlfn.IFNA(INDEX(Ploegen!$B$3:$B$27,MATCH(B16,Ploegen,0)),"")</f>
        <v/>
      </c>
      <c r="B16" s="271" t="str" cm="1">
        <f t="array" ref="B16">IFERROR(
  INDEX(tbl_ploegen,SMALL(Ploegen!$AG$3:$AG$27,ROW(A10))-2,1),
  ""
)</f>
        <v/>
      </c>
      <c r="C16" s="277"/>
      <c r="D16" s="272"/>
      <c r="E16" s="37" t="str" cm="1">
        <f t="array" aca="1" ref="E16" ca="1">IF(_xlfn.IFNA(INDIRECT("'enveloppen'!I" &amp; MATCH(B16,enveloppen!A:A,0)+4),"")&lt;&gt;0,_xlfn.IFNA(INDIRECT("'enveloppen'!I" &amp; MATCH(B16,enveloppen!A:A,0)+4),""),"")</f>
        <v/>
      </c>
      <c r="F16" s="36"/>
      <c r="G16" s="36"/>
    </row>
    <row r="17" spans="1:7" x14ac:dyDescent="0.35">
      <c r="A17" s="35" t="str">
        <f>_xlfn.IFNA(INDEX(Ploegen!$B$3:$B$27,MATCH(B17,Ploegen,0)),"")</f>
        <v/>
      </c>
      <c r="B17" s="271" t="str" cm="1">
        <f t="array" ref="B17">IFERROR(
  INDEX(tbl_ploegen,SMALL(Ploegen!$AG$3:$AG$27,ROW(A11))-2,1),
  ""
)</f>
        <v/>
      </c>
      <c r="C17" s="277"/>
      <c r="D17" s="272"/>
      <c r="E17" s="37" t="str" cm="1">
        <f t="array" aca="1" ref="E17" ca="1">IF(_xlfn.IFNA(INDIRECT("'enveloppen'!I" &amp; MATCH(B17,enveloppen!A:A,0)+4),"")&lt;&gt;0,_xlfn.IFNA(INDIRECT("'enveloppen'!I" &amp; MATCH(B17,enveloppen!A:A,0)+4),""),"")</f>
        <v/>
      </c>
      <c r="F17" s="36"/>
      <c r="G17" s="36"/>
    </row>
    <row r="18" spans="1:7" x14ac:dyDescent="0.35">
      <c r="A18" s="35" t="str">
        <f>_xlfn.IFNA(INDEX(Ploegen!$B$3:$B$27,MATCH(B18,Ploegen,0)),"")</f>
        <v/>
      </c>
      <c r="B18" s="271" t="str" cm="1">
        <f t="array" ref="B18">IFERROR(
  INDEX(tbl_ploegen,SMALL(Ploegen!$AG$3:$AG$27,ROW(A12))-2,1),
  ""
)</f>
        <v/>
      </c>
      <c r="C18" s="277"/>
      <c r="D18" s="272"/>
      <c r="E18" s="37" t="str" cm="1">
        <f t="array" aca="1" ref="E18" ca="1">IF(_xlfn.IFNA(INDIRECT("'enveloppen'!I" &amp; MATCH(B18,enveloppen!A:A,0)+4),"")&lt;&gt;0,_xlfn.IFNA(INDIRECT("'enveloppen'!I" &amp; MATCH(B18,enveloppen!A:A,0)+4),""),"")</f>
        <v/>
      </c>
      <c r="F18" s="36"/>
      <c r="G18" s="36"/>
    </row>
    <row r="19" spans="1:7" x14ac:dyDescent="0.35">
      <c r="A19" s="35" t="str">
        <f>_xlfn.IFNA(INDEX(Ploegen!$B$3:$B$27,MATCH(B19,Ploegen,0)),"")</f>
        <v/>
      </c>
      <c r="B19" s="271" t="str" cm="1">
        <f t="array" ref="B19">IFERROR(
  INDEX(tbl_ploegen,SMALL(Ploegen!$AG$3:$AG$27,ROW(A13))-2,1),
  ""
)</f>
        <v/>
      </c>
      <c r="C19" s="277"/>
      <c r="D19" s="272"/>
      <c r="E19" s="37" t="str" cm="1">
        <f t="array" aca="1" ref="E19" ca="1">IF(_xlfn.IFNA(INDIRECT("'enveloppen'!I" &amp; MATCH(B19,enveloppen!A:A,0)+4),"")&lt;&gt;0,_xlfn.IFNA(INDIRECT("'enveloppen'!I" &amp; MATCH(B19,enveloppen!A:A,0)+4),""),"")</f>
        <v/>
      </c>
      <c r="F19" s="36"/>
      <c r="G19" s="36"/>
    </row>
    <row r="20" spans="1:7" x14ac:dyDescent="0.35">
      <c r="A20" s="35" t="str">
        <f>_xlfn.IFNA(INDEX(Ploegen!$B$3:$B$27,MATCH(B20,Ploegen,0)),"")</f>
        <v/>
      </c>
      <c r="B20" s="271" t="str" cm="1">
        <f t="array" ref="B20">IFERROR(
  INDEX(tbl_ploegen,SMALL(Ploegen!$AG$3:$AG$27,ROW(A14))-2,1),
  ""
)</f>
        <v/>
      </c>
      <c r="C20" s="277"/>
      <c r="D20" s="272"/>
      <c r="E20" s="37" t="str" cm="1">
        <f t="array" aca="1" ref="E20" ca="1">IF(_xlfn.IFNA(INDIRECT("'enveloppen'!I" &amp; MATCH(B20,enveloppen!A:A,0)+4),"")&lt;&gt;0,_xlfn.IFNA(INDIRECT("'enveloppen'!I" &amp; MATCH(B20,enveloppen!A:A,0)+4),""),"")</f>
        <v/>
      </c>
      <c r="F20" s="36"/>
      <c r="G20" s="36"/>
    </row>
    <row r="21" spans="1:7" x14ac:dyDescent="0.35">
      <c r="A21" s="35" t="str">
        <f>_xlfn.IFNA(INDEX(Ploegen!$B$3:$B$27,MATCH(B21,Ploegen,0)),"")</f>
        <v/>
      </c>
      <c r="B21" s="271" t="str" cm="1">
        <f t="array" ref="B21">IFERROR(
  INDEX(tbl_ploegen,SMALL(Ploegen!$AG$3:$AG$27,ROW(A15))-2,1),
  ""
)</f>
        <v/>
      </c>
      <c r="C21" s="277"/>
      <c r="D21" s="272"/>
      <c r="E21" s="37" t="str" cm="1">
        <f t="array" aca="1" ref="E21" ca="1">IF(_xlfn.IFNA(INDIRECT("'enveloppen'!I" &amp; MATCH(B21,enveloppen!A:A,0)+4),"")&lt;&gt;0,_xlfn.IFNA(INDIRECT("'enveloppen'!I" &amp; MATCH(B21,enveloppen!A:A,0)+4),""),"")</f>
        <v/>
      </c>
      <c r="F21" s="36"/>
      <c r="G21" s="36"/>
    </row>
    <row r="22" spans="1:7" x14ac:dyDescent="0.35">
      <c r="A22" s="35" t="str">
        <f>_xlfn.IFNA(INDEX(Ploegen!$B$3:$B$27,MATCH(B22,Ploegen,0)),"")</f>
        <v/>
      </c>
      <c r="B22" s="271" t="str" cm="1">
        <f t="array" ref="B22">IFERROR(
  INDEX(tbl_ploegen,SMALL(Ploegen!$AG$3:$AG$27,ROW(A16))-2,1),
  ""
)</f>
        <v/>
      </c>
      <c r="C22" s="277"/>
      <c r="D22" s="272"/>
      <c r="E22" s="37" t="str" cm="1">
        <f t="array" aca="1" ref="E22" ca="1">IF(_xlfn.IFNA(INDIRECT("'enveloppen'!I" &amp; MATCH(B22,enveloppen!A:A,0)+4),"")&lt;&gt;0,_xlfn.IFNA(INDIRECT("'enveloppen'!I" &amp; MATCH(B22,enveloppen!A:A,0)+4),""),"")</f>
        <v/>
      </c>
      <c r="F22" s="36"/>
      <c r="G22" s="36"/>
    </row>
    <row r="23" spans="1:7" x14ac:dyDescent="0.35">
      <c r="A23" s="35" t="str">
        <f>_xlfn.IFNA(INDEX(Ploegen!$B$3:$B$27,MATCH(B23,Ploegen,0)),"")</f>
        <v/>
      </c>
      <c r="B23" s="271" t="str" cm="1">
        <f t="array" ref="B23">IFERROR(
  INDEX(tbl_ploegen,SMALL(Ploegen!$AG$3:$AG$27,ROW(A17))-2,1),
  ""
)</f>
        <v/>
      </c>
      <c r="C23" s="277"/>
      <c r="D23" s="272"/>
      <c r="E23" s="37" t="str" cm="1">
        <f t="array" aca="1" ref="E23" ca="1">IF(_xlfn.IFNA(INDIRECT("'enveloppen'!I" &amp; MATCH(B23,enveloppen!A:A,0)+4),"")&lt;&gt;0,_xlfn.IFNA(INDIRECT("'enveloppen'!I" &amp; MATCH(B23,enveloppen!A:A,0)+4),""),"")</f>
        <v/>
      </c>
      <c r="F23" s="36"/>
      <c r="G23" s="36"/>
    </row>
    <row r="24" spans="1:7" x14ac:dyDescent="0.35">
      <c r="A24" s="35" t="str">
        <f>_xlfn.IFNA(INDEX(Ploegen!$B$3:$B$27,MATCH(B24,Ploegen,0)),"")</f>
        <v/>
      </c>
      <c r="B24" s="271" t="str" cm="1">
        <f t="array" ref="B24">IFERROR(
  INDEX(tbl_ploegen,SMALL(Ploegen!$AG$3:$AG$27,ROW(A18))-2,1),
  ""
)</f>
        <v/>
      </c>
      <c r="C24" s="277"/>
      <c r="D24" s="272"/>
      <c r="E24" s="37" t="str" cm="1">
        <f t="array" aca="1" ref="E24" ca="1">IF(_xlfn.IFNA(INDIRECT("'enveloppen'!I" &amp; MATCH(B24,enveloppen!A:A,0)+4),"")&lt;&gt;0,_xlfn.IFNA(INDIRECT("'enveloppen'!I" &amp; MATCH(B24,enveloppen!A:A,0)+4),""),"")</f>
        <v/>
      </c>
      <c r="F24" s="36"/>
      <c r="G24" s="36"/>
    </row>
    <row r="25" spans="1:7" x14ac:dyDescent="0.35">
      <c r="A25" s="35" t="str">
        <f>_xlfn.IFNA(INDEX(Ploegen!$B$3:$B$27,MATCH(B25,Ploegen,0)),"")</f>
        <v/>
      </c>
      <c r="B25" s="271" t="str" cm="1">
        <f t="array" ref="B25">IFERROR(
  INDEX(tbl_ploegen,SMALL(Ploegen!$AG$3:$AG$27,ROW(A19))-2,1),
  ""
)</f>
        <v/>
      </c>
      <c r="C25" s="277"/>
      <c r="D25" s="272"/>
      <c r="E25" s="37" t="str" cm="1">
        <f t="array" aca="1" ref="E25" ca="1">IF(_xlfn.IFNA(INDIRECT("'enveloppen'!I" &amp; MATCH(B25,enveloppen!A:A,0)+4),"")&lt;&gt;0,_xlfn.IFNA(INDIRECT("'enveloppen'!I" &amp; MATCH(B25,enveloppen!A:A,0)+4),""),"")</f>
        <v/>
      </c>
      <c r="F25" s="36"/>
      <c r="G25" s="36"/>
    </row>
    <row r="26" spans="1:7" x14ac:dyDescent="0.35">
      <c r="A26" s="35" t="str">
        <f>_xlfn.IFNA(INDEX(Ploegen!$B$3:$B$27,MATCH(B26,Ploegen,0)),"")</f>
        <v/>
      </c>
      <c r="B26" s="271" t="str" cm="1">
        <f t="array" ref="B26">IFERROR(
  INDEX(tbl_ploegen,SMALL(Ploegen!$AG$3:$AG$27,ROW(A20))-2,1),
  ""
)</f>
        <v/>
      </c>
      <c r="C26" s="277"/>
      <c r="D26" s="272"/>
      <c r="E26" s="37" t="str" cm="1">
        <f t="array" aca="1" ref="E26" ca="1">IF(_xlfn.IFNA(INDIRECT("'enveloppen'!I" &amp; MATCH(B26,enveloppen!A:A,0)+4),"")&lt;&gt;0,_xlfn.IFNA(INDIRECT("'enveloppen'!I" &amp; MATCH(B26,enveloppen!A:A,0)+4),""),"")</f>
        <v/>
      </c>
      <c r="F26" s="36"/>
      <c r="G26" s="36"/>
    </row>
    <row r="27" spans="1:7" x14ac:dyDescent="0.35">
      <c r="A27" s="35" t="str">
        <f>_xlfn.IFNA(INDEX(Ploegen!$B$3:$B$27,MATCH(B27,Ploegen,0)),"")</f>
        <v/>
      </c>
      <c r="B27" s="271" t="str" cm="1">
        <f t="array" ref="B27">IFERROR(
  INDEX(tbl_ploegen,SMALL(Ploegen!$AG$3:$AG$27,ROW(A21))-2,1),
  ""
)</f>
        <v/>
      </c>
      <c r="C27" s="277"/>
      <c r="D27" s="272"/>
      <c r="E27" s="37" t="str" cm="1">
        <f t="array" aca="1" ref="E27" ca="1">IF(_xlfn.IFNA(INDIRECT("'enveloppen'!I" &amp; MATCH(B27,enveloppen!A:A,0)+4),"")&lt;&gt;0,_xlfn.IFNA(INDIRECT("'enveloppen'!I" &amp; MATCH(B27,enveloppen!A:A,0)+4),""),"")</f>
        <v/>
      </c>
      <c r="F27" s="36"/>
      <c r="G27" s="36"/>
    </row>
    <row r="28" spans="1:7" x14ac:dyDescent="0.35">
      <c r="A28" s="35" t="str">
        <f>_xlfn.IFNA(INDEX(Ploegen!$B$3:$B$27,MATCH(B28,Ploegen,0)),"")</f>
        <v/>
      </c>
      <c r="B28" s="271" t="str" cm="1">
        <f t="array" ref="B28">IFERROR(
  INDEX(tbl_ploegen,SMALL(Ploegen!$AG$3:$AG$27,ROW(A22))-2,1),
  ""
)</f>
        <v/>
      </c>
      <c r="C28" s="277"/>
      <c r="D28" s="272"/>
      <c r="E28" s="37" t="str" cm="1">
        <f t="array" aca="1" ref="E28" ca="1">IF(_xlfn.IFNA(INDIRECT("'enveloppen'!I" &amp; MATCH(B28,enveloppen!A:A,0)+4),"")&lt;&gt;0,_xlfn.IFNA(INDIRECT("'enveloppen'!I" &amp; MATCH(B28,enveloppen!A:A,0)+4),""),"")</f>
        <v/>
      </c>
      <c r="F28" s="36"/>
      <c r="G28" s="36"/>
    </row>
    <row r="29" spans="1:7" hidden="1" x14ac:dyDescent="0.35">
      <c r="A29" s="35" t="str">
        <f>_xlfn.IFNA(INDEX(Ploegen!$B$3:$B$27,MATCH(B29,Ploegen,0)),"")</f>
        <v/>
      </c>
      <c r="B29" s="271" t="str" cm="1">
        <f t="array" ref="B29">IFERROR(
  INDEX(tbl_ploegen,SMALL(Ploegen!$AG$3:$AG$27,ROW(A23))-2,1),
  ""
)</f>
        <v/>
      </c>
      <c r="C29" s="277"/>
      <c r="D29" s="272"/>
      <c r="E29" s="37" t="str" cm="1">
        <f t="array" aca="1" ref="E29" ca="1">IF(_xlfn.IFNA(INDIRECT("'enveloppen'!I" &amp; MATCH(B29,enveloppen!A:A,0)+4),"")&lt;&gt;0,_xlfn.IFNA(INDIRECT("'enveloppen'!I" &amp; MATCH(B29,enveloppen!A:A,0)+4),""),"")</f>
        <v/>
      </c>
      <c r="F29" s="36"/>
      <c r="G29" s="36"/>
    </row>
    <row r="30" spans="1:7" hidden="1" x14ac:dyDescent="0.35">
      <c r="A30" s="35" t="str">
        <f>_xlfn.IFNA(INDEX(Ploegen!$B$3:$B$27,MATCH(B30,Ploegen,0)),"")</f>
        <v/>
      </c>
      <c r="B30" s="271" t="str" cm="1">
        <f t="array" ref="B30">IFERROR(
  INDEX(tbl_ploegen,SMALL(Ploegen!$AG$3:$AG$27,ROW(A24))-2,1),
  ""
)</f>
        <v/>
      </c>
      <c r="C30" s="277"/>
      <c r="D30" s="272"/>
      <c r="E30" s="37" t="str" cm="1">
        <f t="array" aca="1" ref="E30" ca="1">IF(_xlfn.IFNA(INDIRECT("'enveloppen'!I" &amp; MATCH(B30,enveloppen!A:A,0)+4),"")&lt;&gt;0,_xlfn.IFNA(INDIRECT("'enveloppen'!I" &amp; MATCH(B30,enveloppen!A:A,0)+4),""),"")</f>
        <v/>
      </c>
      <c r="F30" s="36"/>
      <c r="G30" s="36"/>
    </row>
    <row r="31" spans="1:7" hidden="1" x14ac:dyDescent="0.35">
      <c r="A31" s="35" t="str">
        <f>_xlfn.IFNA(INDEX(Ploegen!$B$3:$B$27,MATCH(B31,Ploegen,0)),"")</f>
        <v/>
      </c>
      <c r="B31" s="271" t="str" cm="1">
        <f t="array" ref="B31">IFERROR(
  INDEX(tbl_ploegen,SMALL(Ploegen!$AG$3:$AG$27,ROW(A25))-2,1),
  ""
)</f>
        <v/>
      </c>
      <c r="C31" s="277"/>
      <c r="D31" s="272"/>
      <c r="E31" s="37" t="str" cm="1">
        <f t="array" aca="1" ref="E31" ca="1">IF(_xlfn.IFNA(INDIRECT("'enveloppen'!I" &amp; MATCH(B31,enveloppen!A:A,0)+4),"")&lt;&gt;0,_xlfn.IFNA(INDIRECT("'enveloppen'!I" &amp; MATCH(B31,enveloppen!A:A,0)+4),""),"")</f>
        <v/>
      </c>
      <c r="F31" s="36"/>
      <c r="G31" s="36"/>
    </row>
    <row r="32" spans="1:7" x14ac:dyDescent="0.35">
      <c r="B32" s="271" t="s">
        <v>68</v>
      </c>
      <c r="C32" s="277"/>
      <c r="D32" s="272"/>
      <c r="E32" s="37">
        <f ca="1">SUM(E7:E31)</f>
        <v>0</v>
      </c>
      <c r="F32" s="36"/>
      <c r="G32" s="36"/>
    </row>
    <row r="33" spans="1:11" ht="10.5" customHeight="1" x14ac:dyDescent="0.35"/>
    <row r="34" spans="1:11" s="276" customFormat="1" ht="30.75" customHeight="1" x14ac:dyDescent="0.5">
      <c r="A34" s="35"/>
      <c r="B34" s="326" t="s">
        <v>142</v>
      </c>
      <c r="C34" s="327"/>
      <c r="D34" s="327"/>
      <c r="E34" s="327"/>
      <c r="F34" s="327"/>
      <c r="G34" s="328"/>
      <c r="H34" s="274"/>
      <c r="I34" s="274"/>
      <c r="J34" s="275"/>
      <c r="K34" s="275"/>
    </row>
    <row r="35" spans="1:11" ht="10.5" customHeight="1" x14ac:dyDescent="0.5">
      <c r="B35" s="268"/>
      <c r="C35" s="268"/>
      <c r="D35" s="268"/>
      <c r="E35" s="268"/>
      <c r="F35" s="268"/>
      <c r="G35" s="268"/>
      <c r="H35" s="268"/>
      <c r="I35" s="268"/>
      <c r="J35" s="268"/>
      <c r="K35" s="273"/>
    </row>
    <row r="36" spans="1:11" x14ac:dyDescent="0.35">
      <c r="B36" s="269" t="str">
        <f>IF(D36&lt;&gt;"",Ploegen!Q31,"")</f>
        <v/>
      </c>
      <c r="C36" s="270" t="str">
        <f>IF(D36&lt;&gt;"",TEXT(Ploegen!Z31,"0,0") &amp; " €","")</f>
        <v/>
      </c>
      <c r="D36" s="271" t="str" cm="1">
        <f t="array" ref="D36:D45">_xlfn.ANCHORARRAY(Ploegen!T31)</f>
        <v/>
      </c>
      <c r="E36" s="272"/>
      <c r="F36" s="36"/>
      <c r="G36" s="36"/>
    </row>
    <row r="37" spans="1:11" x14ac:dyDescent="0.35">
      <c r="B37" s="269" t="str">
        <f>IF(D37&lt;&gt;"",Ploegen!Q32,"")</f>
        <v/>
      </c>
      <c r="C37" s="270" t="str">
        <f>IF(D37&lt;&gt;"",TEXT(Ploegen!Z32,"0,0") &amp; " €","")</f>
        <v/>
      </c>
      <c r="D37" s="271" t="str">
        <v/>
      </c>
      <c r="E37" s="272"/>
      <c r="F37" s="36"/>
      <c r="G37" s="36"/>
    </row>
    <row r="38" spans="1:11" x14ac:dyDescent="0.35">
      <c r="B38" s="269" t="str">
        <f>IF(D38&lt;&gt;"",Ploegen!Q33,"")</f>
        <v/>
      </c>
      <c r="C38" s="270" t="str">
        <f>IF(D38&lt;&gt;"",TEXT(Ploegen!Z33,"0,0") &amp; " €","")</f>
        <v/>
      </c>
      <c r="D38" s="271" t="str">
        <v/>
      </c>
      <c r="E38" s="272"/>
      <c r="F38" s="36"/>
      <c r="G38" s="36"/>
    </row>
    <row r="39" spans="1:11" x14ac:dyDescent="0.35">
      <c r="B39" s="269"/>
      <c r="C39" s="269"/>
      <c r="D39" s="271" t="str">
        <v/>
      </c>
      <c r="E39" s="272"/>
      <c r="F39" s="36"/>
      <c r="G39" s="36"/>
    </row>
    <row r="40" spans="1:11" x14ac:dyDescent="0.35">
      <c r="B40" s="269"/>
      <c r="C40" s="269"/>
      <c r="D40" s="271" t="str">
        <v/>
      </c>
      <c r="E40" s="272"/>
      <c r="F40" s="36"/>
      <c r="G40" s="36"/>
    </row>
    <row r="41" spans="1:11" x14ac:dyDescent="0.35">
      <c r="B41" s="269"/>
      <c r="C41" s="269"/>
      <c r="D41" s="271" t="str">
        <v/>
      </c>
      <c r="E41" s="272"/>
      <c r="F41" s="36"/>
      <c r="G41" s="36"/>
    </row>
    <row r="42" spans="1:11" hidden="1" x14ac:dyDescent="0.35">
      <c r="D42" s="35" t="str">
        <v/>
      </c>
    </row>
    <row r="43" spans="1:11" hidden="1" x14ac:dyDescent="0.35">
      <c r="D43" s="35" t="str">
        <v/>
      </c>
    </row>
    <row r="44" spans="1:11" hidden="1" x14ac:dyDescent="0.35">
      <c r="D44" s="35" t="str">
        <v/>
      </c>
    </row>
    <row r="45" spans="1:11" hidden="1" x14ac:dyDescent="0.35">
      <c r="D45" s="35" t="str">
        <v/>
      </c>
    </row>
  </sheetData>
  <sheetProtection sheet="1" objects="1" scenarios="1"/>
  <mergeCells count="3">
    <mergeCell ref="B1:G2"/>
    <mergeCell ref="B4:F4"/>
    <mergeCell ref="B34:G34"/>
  </mergeCells>
  <phoneticPr fontId="0" type="noConversion"/>
  <conditionalFormatting sqref="B7:D31">
    <cfRule type="containsText" dxfId="36" priority="4" stopIfTrue="1" operator="containsText" text="0">
      <formula>NOT(ISERROR(SEARCH("0",B7)))</formula>
    </cfRule>
  </conditionalFormatting>
  <conditionalFormatting sqref="D39:I39">
    <cfRule type="expression" dxfId="35" priority="1">
      <formula>$D$39=""</formula>
    </cfRule>
  </conditionalFormatting>
  <conditionalFormatting sqref="D40:I40">
    <cfRule type="expression" dxfId="34" priority="2">
      <formula>$D$40=""</formula>
    </cfRule>
  </conditionalFormatting>
  <conditionalFormatting sqref="D41:I41">
    <cfRule type="expression" dxfId="33" priority="3">
      <formula>$D$41=""</formula>
    </cfRule>
  </conditionalFormatting>
  <printOptions horizontalCentered="1" verticalCentered="1"/>
  <pageMargins left="0.23622047244094491" right="0.23622047244094491" top="0.39370078740157483" bottom="0.19685039370078741" header="0.51181102362204722" footer="0.51181102362204722"/>
  <pageSetup paperSize="9" firstPageNumber="0" orientation="portrait" horizontalDpi="4294967294" verticalDpi="4294967294"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84342-5841-4499-A9D1-DBB7C2E0A09A}">
  <sheetPr codeName="Blad7"/>
  <dimension ref="A1:Q350"/>
  <sheetViews>
    <sheetView showGridLines="0" topLeftCell="A131" zoomScaleNormal="100" workbookViewId="0">
      <selection activeCell="A127" activeCellId="1" sqref="A99:J112 A127:J154"/>
    </sheetView>
  </sheetViews>
  <sheetFormatPr defaultColWidth="0" defaultRowHeight="15" zeroHeight="1" x14ac:dyDescent="0.2"/>
  <cols>
    <col min="1" max="1" width="3.28515625" style="26" customWidth="1"/>
    <col min="2" max="2" width="17.5703125" style="26" customWidth="1"/>
    <col min="3" max="3" width="7.85546875" style="26" customWidth="1"/>
    <col min="4" max="4" width="5.42578125" style="26" customWidth="1"/>
    <col min="5" max="5" width="6.140625" style="26" customWidth="1"/>
    <col min="6" max="6" width="7.85546875" style="26" customWidth="1"/>
    <col min="7" max="7" width="13.140625" style="26" customWidth="1"/>
    <col min="8" max="8" width="12.85546875" style="146" customWidth="1"/>
    <col min="9" max="9" width="11.5703125" style="26" customWidth="1"/>
    <col min="10" max="10" width="7.85546875" style="26" customWidth="1"/>
    <col min="11" max="16384" width="11.5703125" style="26" hidden="1"/>
  </cols>
  <sheetData>
    <row r="1" spans="1:17" customFormat="1" ht="16.5" x14ac:dyDescent="0.3">
      <c r="A1" s="1"/>
      <c r="B1" s="1"/>
      <c r="C1" s="1"/>
      <c r="D1" s="41"/>
      <c r="E1" s="41"/>
      <c r="F1" s="41"/>
      <c r="G1" s="41"/>
      <c r="H1" s="55" t="str">
        <f>Ploegen!$C$1</f>
        <v>VRIENDENSCHIETING - LAREN</v>
      </c>
      <c r="I1" s="25">
        <f>Ploegen!$H$1</f>
        <v>46172</v>
      </c>
      <c r="J1" s="1"/>
      <c r="K1" s="196"/>
      <c r="L1" s="196"/>
      <c r="M1" s="196"/>
      <c r="N1" s="196"/>
      <c r="O1" s="196"/>
      <c r="P1" s="196"/>
      <c r="Q1" s="196"/>
    </row>
    <row r="2" spans="1:17" customFormat="1" ht="15.75" x14ac:dyDescent="0.25">
      <c r="A2" s="196"/>
      <c r="B2" s="196"/>
      <c r="C2" s="196"/>
      <c r="D2" s="196"/>
      <c r="E2" s="196"/>
      <c r="F2" s="196"/>
      <c r="G2" s="196"/>
      <c r="H2" s="55"/>
      <c r="I2" s="25"/>
      <c r="J2" s="40"/>
      <c r="K2" s="196"/>
      <c r="L2" s="196"/>
      <c r="M2" s="196"/>
      <c r="N2" s="196"/>
      <c r="O2" s="196"/>
      <c r="P2" s="196"/>
      <c r="Q2" s="196"/>
    </row>
    <row r="3" spans="1:17" customFormat="1" ht="16.5" x14ac:dyDescent="0.3">
      <c r="A3" s="2">
        <f>aantal_ploegen</f>
        <v>0</v>
      </c>
      <c r="B3" s="2" t="s">
        <v>69</v>
      </c>
      <c r="C3" s="3">
        <f>Aantal_30</f>
        <v>0</v>
      </c>
      <c r="D3" s="3">
        <v>30</v>
      </c>
      <c r="E3" s="197" t="s">
        <v>70</v>
      </c>
      <c r="F3" s="4">
        <f>Bedrag_per_ploeg_30</f>
        <v>0</v>
      </c>
      <c r="G3" s="196"/>
      <c r="H3" s="59"/>
      <c r="I3" s="1"/>
      <c r="J3" s="1"/>
      <c r="K3" s="196"/>
      <c r="L3" s="196"/>
      <c r="M3" s="196"/>
      <c r="N3" s="196"/>
      <c r="O3" s="196"/>
      <c r="P3" s="196"/>
      <c r="Q3" s="196"/>
    </row>
    <row r="4" spans="1:17" customFormat="1" ht="16.5" x14ac:dyDescent="0.3">
      <c r="A4" s="2"/>
      <c r="B4" s="2"/>
      <c r="C4" s="3">
        <f>Aantal_29</f>
        <v>0</v>
      </c>
      <c r="D4" s="3">
        <v>29</v>
      </c>
      <c r="E4" s="197" t="s">
        <v>70</v>
      </c>
      <c r="F4" s="4">
        <f>Bedrag_per_ploeg_29</f>
        <v>0</v>
      </c>
      <c r="G4" s="196"/>
      <c r="H4" s="59"/>
      <c r="I4" s="1"/>
      <c r="J4" s="1"/>
      <c r="K4" s="196"/>
      <c r="L4" s="196"/>
      <c r="M4" s="196"/>
      <c r="N4" s="196"/>
      <c r="O4" s="196"/>
      <c r="P4" s="196"/>
      <c r="Q4" s="196"/>
    </row>
    <row r="5" spans="1:17" customFormat="1" ht="16.5" x14ac:dyDescent="0.3">
      <c r="A5" s="2"/>
      <c r="B5" s="2"/>
      <c r="C5" s="3">
        <f>Aantal_28</f>
        <v>0</v>
      </c>
      <c r="D5" s="3">
        <v>28</v>
      </c>
      <c r="E5" s="197" t="s">
        <v>70</v>
      </c>
      <c r="F5" s="4">
        <f>Bedrag_per_ploeg_28</f>
        <v>0</v>
      </c>
      <c r="G5" s="4"/>
      <c r="H5" s="5"/>
      <c r="I5" s="1"/>
      <c r="J5" s="1"/>
      <c r="K5" s="196"/>
      <c r="L5" s="196"/>
      <c r="M5" s="196"/>
      <c r="N5" s="196"/>
      <c r="O5" s="196"/>
      <c r="P5" s="196"/>
      <c r="Q5" s="196"/>
    </row>
    <row r="6" spans="1:17" customFormat="1" ht="16.5" x14ac:dyDescent="0.3">
      <c r="A6" s="2"/>
      <c r="B6" s="2"/>
      <c r="C6" s="3" t="str">
        <f>IF(Bedrag_per_ploeg_27&gt;0,Aantal_27,"")</f>
        <v/>
      </c>
      <c r="D6" s="3" t="str">
        <f>IF(Bedrag_per_ploeg_27&gt;0,27,"")</f>
        <v/>
      </c>
      <c r="E6" s="197" t="str">
        <f>IF(Bedrag_per_ploeg_27&gt;0,"/30","")</f>
        <v/>
      </c>
      <c r="F6" s="4" t="str">
        <f>IF(Bedrag_per_ploeg_27&gt;0,Bedrag_per_ploeg_27,"")</f>
        <v/>
      </c>
      <c r="G6" s="4"/>
      <c r="H6" s="5"/>
      <c r="I6" s="2"/>
      <c r="J6" s="1"/>
      <c r="K6" s="196"/>
      <c r="L6" s="196"/>
      <c r="M6" s="196"/>
      <c r="N6" s="196"/>
      <c r="O6" s="196"/>
      <c r="P6" s="196"/>
      <c r="Q6" s="196"/>
    </row>
    <row r="7" spans="1:17" customFormat="1" ht="16.5" x14ac:dyDescent="0.3">
      <c r="A7" s="196"/>
      <c r="B7" s="196"/>
      <c r="C7" s="3" t="str">
        <f>IF(Bedrag_per_ploeg_26&gt;0,Aantal_26,"")</f>
        <v/>
      </c>
      <c r="D7" s="3" t="str">
        <f>IF(Bedrag_per_ploeg_26&gt;0,26,"")</f>
        <v/>
      </c>
      <c r="E7" s="197" t="str">
        <f>IF(Bedrag_per_ploeg_26&gt;0,"/30","")</f>
        <v/>
      </c>
      <c r="F7" s="4" t="str">
        <f>IF(Bedrag_per_ploeg_26&gt;0,Bedrag_per_ploeg_26,"")</f>
        <v/>
      </c>
      <c r="G7" s="4"/>
      <c r="H7" s="2"/>
      <c r="I7" s="2"/>
      <c r="J7" s="1"/>
      <c r="K7" s="196"/>
      <c r="L7" s="196"/>
      <c r="M7" s="196"/>
      <c r="N7" s="196"/>
      <c r="O7" s="196"/>
      <c r="P7" s="196"/>
      <c r="Q7" s="196"/>
    </row>
    <row r="8" spans="1:17" customFormat="1" ht="16.5" x14ac:dyDescent="0.3">
      <c r="A8" s="196"/>
      <c r="B8" s="196"/>
      <c r="C8" s="3" t="str">
        <f>IF(Bedrag_per_ploeg_25&gt;0,Aantal_25,"")</f>
        <v/>
      </c>
      <c r="D8" s="3" t="str">
        <f>IF(Bedrag_per_ploeg_25&gt;0,25,"")</f>
        <v/>
      </c>
      <c r="E8" s="197" t="str">
        <f>IF(Bedrag_per_ploeg_25&gt;0,"/30","")</f>
        <v/>
      </c>
      <c r="F8" s="4" t="str">
        <f>IF(Bedrag_per_ploeg_25&gt;0,Bedrag_per_ploeg_25,"")</f>
        <v/>
      </c>
      <c r="G8" s="4"/>
      <c r="H8" s="5"/>
      <c r="I8" s="2"/>
      <c r="J8" s="1"/>
      <c r="K8" s="196"/>
      <c r="L8" s="196"/>
      <c r="M8" s="196"/>
      <c r="N8" s="196"/>
      <c r="O8" s="196" t="s">
        <v>131</v>
      </c>
      <c r="P8" s="196"/>
      <c r="Q8" s="196"/>
    </row>
    <row r="9" spans="1:17" customFormat="1" ht="16.5" x14ac:dyDescent="0.3">
      <c r="A9" s="56" t="str" cm="1">
        <f t="array" aca="1" ref="A9" ca="1">IFERROR(
  INDEX(tbl_ploegen,SMALL(Ploegen!$AG$3:$AG$27,ROW(INDIRECT("A"&amp;(ROW()-9)/14+1)))-2,1),
  ""
)</f>
        <v/>
      </c>
      <c r="B9" s="56"/>
      <c r="C9" s="3" t="str">
        <f ca="1">IF(F9="","","A")</f>
        <v>A</v>
      </c>
      <c r="D9" s="40" t="s">
        <v>71</v>
      </c>
      <c r="E9" s="40"/>
      <c r="F9" s="3">
        <f ca="1">SUMIF(tbl_ploegen,A9,Uitslagen_A)</f>
        <v>0</v>
      </c>
      <c r="G9" s="197" t="s">
        <v>70</v>
      </c>
      <c r="H9" s="6">
        <f ca="1">IF(F9="","",IF(ISNA(VLOOKUP(F9,tbl_prijzen,13,FALSE)),0,VLOOKUP(F9,tbl_prijzen,13,FALSE)))</f>
        <v>0</v>
      </c>
      <c r="I9" s="2"/>
      <c r="J9" s="1"/>
      <c r="K9" s="196"/>
      <c r="L9" s="196"/>
      <c r="M9" s="196"/>
      <c r="N9" s="196"/>
      <c r="O9" s="196" t="s">
        <v>130</v>
      </c>
      <c r="P9" s="196"/>
      <c r="Q9" s="196"/>
    </row>
    <row r="10" spans="1:17" customFormat="1" ht="16.5" x14ac:dyDescent="0.3">
      <c r="A10" s="2"/>
      <c r="B10" s="2"/>
      <c r="C10" s="3" t="str">
        <f ca="1">IF(F10="","","B")</f>
        <v/>
      </c>
      <c r="D10" s="40" t="str">
        <f t="shared" ref="D10:D12" ca="1" si="0">IF(F10="","","ploeg")</f>
        <v/>
      </c>
      <c r="E10" s="40"/>
      <c r="F10" s="3" t="str">
        <f ca="1">IF(SUMIF(tbl_ploegen,A9,Uitslagen_B)&gt;0,SUMIF(tbl_ploegen,A9,Uitslagen_B),"")</f>
        <v/>
      </c>
      <c r="G10" s="8" t="str">
        <f t="shared" ref="G10:G12" ca="1" si="1">IF(F10="","","/30")</f>
        <v/>
      </c>
      <c r="H10" s="6" t="str">
        <f ca="1">IF(F10="","",IF(ISNA(VLOOKUP(F10,tbl_prijzen,13,FALSE)),0,VLOOKUP(F10,tbl_prijzen,13,FALSE)))</f>
        <v/>
      </c>
      <c r="I10" s="5"/>
      <c r="J10" s="1"/>
      <c r="K10" s="196"/>
      <c r="L10" s="196"/>
      <c r="M10" s="196"/>
      <c r="N10" s="196"/>
      <c r="O10" s="196"/>
      <c r="P10" s="196"/>
      <c r="Q10" s="196"/>
    </row>
    <row r="11" spans="1:17" customFormat="1" ht="15.75" x14ac:dyDescent="0.25">
      <c r="A11" s="2"/>
      <c r="B11" s="2"/>
      <c r="C11" s="3" t="str">
        <f ca="1">IF(F11="","","C")</f>
        <v/>
      </c>
      <c r="D11" s="40" t="str">
        <f t="shared" ca="1" si="0"/>
        <v/>
      </c>
      <c r="E11" s="40"/>
      <c r="F11" s="3" t="str">
        <f ca="1">IF(SUMIF(tbl_ploegen,A9,Uitslagen_C)&gt;0,SUMIF(tbl_ploegen,A9,Uitslagen_C),"")</f>
        <v/>
      </c>
      <c r="G11" s="8" t="str">
        <f t="shared" ca="1" si="1"/>
        <v/>
      </c>
      <c r="H11" s="6" t="str">
        <f t="shared" ref="H11:H14" ca="1" si="2">IF(F11="","",IF(ISNA(VLOOKUP(F11,tbl_prijzen,13,FALSE)),0,VLOOKUP(F11,tbl_prijzen,13,FALSE)))</f>
        <v/>
      </c>
      <c r="I11" s="5"/>
      <c r="J11" s="196"/>
      <c r="K11" s="196"/>
      <c r="L11" s="196"/>
      <c r="M11" s="196"/>
      <c r="N11" s="196"/>
      <c r="O11" s="196"/>
      <c r="P11" s="196"/>
      <c r="Q11" s="196"/>
    </row>
    <row r="12" spans="1:17" customFormat="1" ht="16.5" x14ac:dyDescent="0.3">
      <c r="A12" s="2"/>
      <c r="B12" s="2"/>
      <c r="C12" s="3" t="str">
        <f ca="1">IF(F12="","","D")</f>
        <v/>
      </c>
      <c r="D12" s="40" t="str">
        <f t="shared" ca="1" si="0"/>
        <v/>
      </c>
      <c r="E12" s="40"/>
      <c r="F12" s="3" t="str">
        <f ca="1">IF(SUMIF(tbl_ploegen,A9,Uitslagen_D)&gt;0,SUMIF(tbl_ploegen,A9,Uitslagen_D),"")</f>
        <v/>
      </c>
      <c r="G12" s="8" t="str">
        <f t="shared" ca="1" si="1"/>
        <v/>
      </c>
      <c r="H12" s="6" t="str">
        <f t="shared" ca="1" si="2"/>
        <v/>
      </c>
      <c r="I12" s="7" t="s">
        <v>72</v>
      </c>
      <c r="J12" s="1"/>
      <c r="K12" s="196"/>
      <c r="L12" s="196"/>
      <c r="M12" s="196"/>
      <c r="N12" s="196"/>
      <c r="O12" s="196"/>
      <c r="P12" s="196"/>
      <c r="Q12" s="196"/>
    </row>
    <row r="13" spans="1:17" customFormat="1" ht="16.5" x14ac:dyDescent="0.3">
      <c r="A13" s="2"/>
      <c r="B13" s="2"/>
      <c r="C13" s="3" t="str">
        <f ca="1">IF(F13="","","E")</f>
        <v/>
      </c>
      <c r="D13" s="329" t="str">
        <f ca="1">IF(F13="","","ploeg")</f>
        <v/>
      </c>
      <c r="E13" s="329"/>
      <c r="F13" s="3" t="str">
        <f ca="1">IF(SUMIF(tbl_ploegen,A9,Uitslagen_E)&gt;0,SUMIF(tbl_ploegen,A9,Uitslagen_E),"")</f>
        <v/>
      </c>
      <c r="G13" s="8" t="str">
        <f ca="1">IF(F13="","","/30")</f>
        <v/>
      </c>
      <c r="H13" s="6" t="str">
        <f t="shared" ca="1" si="2"/>
        <v/>
      </c>
      <c r="I13" s="9">
        <f ca="1">SUM(H9:H14)</f>
        <v>0</v>
      </c>
      <c r="J13" s="1"/>
      <c r="K13" s="196"/>
      <c r="L13" s="196"/>
      <c r="M13" s="196"/>
      <c r="N13" s="196"/>
      <c r="O13" s="196"/>
      <c r="P13" s="196"/>
      <c r="Q13" s="196"/>
    </row>
    <row r="14" spans="1:17" customFormat="1" ht="16.5" x14ac:dyDescent="0.3">
      <c r="A14" s="2"/>
      <c r="B14" s="2"/>
      <c r="C14" s="3" t="str">
        <f ca="1">IF(F14="","","F")</f>
        <v>F</v>
      </c>
      <c r="D14" s="329" t="str">
        <f ca="1">IF(F14="","","ploeg")</f>
        <v>ploeg</v>
      </c>
      <c r="E14" s="329"/>
      <c r="F14" s="3">
        <f ca="1">IF(SUMIF(tbl_ploegen,A9,Uitslagen_F)&gt;0,SUMIF(tbl_ploegen,A9,Uitslagen_F),"")</f>
        <v>46174</v>
      </c>
      <c r="G14" s="8" t="str">
        <f ca="1">IF(F14="","","/30")</f>
        <v>/30</v>
      </c>
      <c r="H14" s="6">
        <f t="shared" ca="1" si="2"/>
        <v>0</v>
      </c>
      <c r="I14" s="196"/>
      <c r="J14" s="1"/>
      <c r="K14" s="196"/>
      <c r="L14" s="196"/>
      <c r="M14" s="196"/>
      <c r="N14" s="196"/>
      <c r="O14" s="196"/>
      <c r="P14" s="196"/>
      <c r="Q14" s="196"/>
    </row>
    <row r="15" spans="1:17" customFormat="1" ht="16.5" x14ac:dyDescent="0.3">
      <c r="A15" s="1"/>
      <c r="B15" s="1"/>
      <c r="C15" s="1"/>
      <c r="D15" s="41"/>
      <c r="E15" s="41"/>
      <c r="F15" s="41"/>
      <c r="G15" s="41"/>
      <c r="H15" s="55" t="str">
        <f>Ploegen!$C$1</f>
        <v>VRIENDENSCHIETING - LAREN</v>
      </c>
      <c r="I15" s="25">
        <f>Ploegen!$H$1</f>
        <v>46172</v>
      </c>
      <c r="J15" s="1"/>
      <c r="K15" s="196"/>
      <c r="L15" s="196"/>
      <c r="M15" s="196"/>
      <c r="N15" s="196"/>
      <c r="O15" s="196"/>
      <c r="P15" s="196"/>
      <c r="Q15" s="196"/>
    </row>
    <row r="16" spans="1:17" customFormat="1" ht="15.75" x14ac:dyDescent="0.25">
      <c r="A16" s="196"/>
      <c r="B16" s="196"/>
      <c r="C16" s="196"/>
      <c r="D16" s="196"/>
      <c r="E16" s="196"/>
      <c r="F16" s="196"/>
      <c r="G16" s="196"/>
      <c r="H16" s="55"/>
      <c r="I16" s="25"/>
      <c r="J16" s="40"/>
      <c r="K16" s="196"/>
      <c r="L16" s="196"/>
      <c r="M16" s="196"/>
      <c r="N16" s="196"/>
      <c r="O16" s="196"/>
      <c r="P16" s="196"/>
      <c r="Q16" s="196"/>
    </row>
    <row r="17" spans="1:15" customFormat="1" ht="16.5" x14ac:dyDescent="0.3">
      <c r="A17" s="2">
        <f>aantal_ploegen</f>
        <v>0</v>
      </c>
      <c r="B17" s="2" t="s">
        <v>69</v>
      </c>
      <c r="C17" s="3">
        <f>Aantal_30</f>
        <v>0</v>
      </c>
      <c r="D17" s="3">
        <v>30</v>
      </c>
      <c r="E17" s="197" t="s">
        <v>70</v>
      </c>
      <c r="F17" s="4">
        <f>Bedrag_per_ploeg_30</f>
        <v>0</v>
      </c>
      <c r="G17" s="196"/>
      <c r="H17" s="59"/>
      <c r="I17" s="1"/>
      <c r="J17" s="1"/>
    </row>
    <row r="18" spans="1:15" customFormat="1" ht="16.5" x14ac:dyDescent="0.3">
      <c r="A18" s="2"/>
      <c r="B18" s="2"/>
      <c r="C18" s="3">
        <f>Aantal_29</f>
        <v>0</v>
      </c>
      <c r="D18" s="3">
        <v>29</v>
      </c>
      <c r="E18" s="197" t="s">
        <v>70</v>
      </c>
      <c r="F18" s="4">
        <f>Bedrag_per_ploeg_29</f>
        <v>0</v>
      </c>
      <c r="G18" s="196"/>
      <c r="H18" s="59"/>
      <c r="I18" s="1"/>
      <c r="J18" s="1"/>
    </row>
    <row r="19" spans="1:15" customFormat="1" ht="16.5" x14ac:dyDescent="0.3">
      <c r="A19" s="2"/>
      <c r="B19" s="2"/>
      <c r="C19" s="3">
        <f>Aantal_28</f>
        <v>0</v>
      </c>
      <c r="D19" s="3">
        <v>28</v>
      </c>
      <c r="E19" s="197" t="s">
        <v>70</v>
      </c>
      <c r="F19" s="4">
        <f>Bedrag_per_ploeg_28</f>
        <v>0</v>
      </c>
      <c r="G19" s="4"/>
      <c r="H19" s="5"/>
      <c r="I19" s="1"/>
      <c r="J19" s="1"/>
    </row>
    <row r="20" spans="1:15" customFormat="1" ht="16.5" x14ac:dyDescent="0.3">
      <c r="A20" s="56"/>
      <c r="B20" s="2"/>
      <c r="C20" s="3" t="str">
        <f>IF(Bedrag_per_ploeg_27&gt;0,Aantal_27,"")</f>
        <v/>
      </c>
      <c r="D20" s="3" t="str">
        <f>IF(Bedrag_per_ploeg_27&gt;0,27,"")</f>
        <v/>
      </c>
      <c r="E20" s="197" t="str">
        <f>IF(Bedrag_per_ploeg_27&gt;0,"/30","")</f>
        <v/>
      </c>
      <c r="F20" s="4" t="str">
        <f>IF(Bedrag_per_ploeg_27&gt;0,Bedrag_per_ploeg_27,"")</f>
        <v/>
      </c>
      <c r="G20" s="4"/>
      <c r="H20" s="5"/>
      <c r="I20" s="2"/>
      <c r="J20" s="1"/>
    </row>
    <row r="21" spans="1:15" customFormat="1" ht="16.5" x14ac:dyDescent="0.3">
      <c r="A21" s="56"/>
      <c r="B21" s="196"/>
      <c r="C21" s="3" t="str">
        <f>IF(Bedrag_per_ploeg_26&gt;0,Aantal_26,"")</f>
        <v/>
      </c>
      <c r="D21" s="3" t="str">
        <f>IF(Bedrag_per_ploeg_26&gt;0,26,"")</f>
        <v/>
      </c>
      <c r="E21" s="197" t="str">
        <f>IF(Bedrag_per_ploeg_26&gt;0,"/30","")</f>
        <v/>
      </c>
      <c r="F21" s="4" t="str">
        <f>IF(Bedrag_per_ploeg_26&gt;0,Bedrag_per_ploeg_26,"")</f>
        <v/>
      </c>
      <c r="G21" s="4"/>
      <c r="H21" s="2"/>
      <c r="I21" s="2"/>
      <c r="J21" s="1"/>
    </row>
    <row r="22" spans="1:15" customFormat="1" ht="16.5" x14ac:dyDescent="0.3">
      <c r="A22" s="56"/>
      <c r="B22" s="196"/>
      <c r="C22" s="3" t="str">
        <f>IF(Bedrag_per_ploeg_25&gt;0,Aantal_25,"")</f>
        <v/>
      </c>
      <c r="D22" s="3" t="str">
        <f>IF(Bedrag_per_ploeg_25&gt;0,25,"")</f>
        <v/>
      </c>
      <c r="E22" s="197" t="str">
        <f>IF(Bedrag_per_ploeg_25&gt;0,"/30","")</f>
        <v/>
      </c>
      <c r="F22" s="4" t="str">
        <f>IF(Bedrag_per_ploeg_25&gt;0,Bedrag_per_ploeg_25,"")</f>
        <v/>
      </c>
      <c r="G22" s="4"/>
      <c r="H22" s="5"/>
      <c r="I22" s="2"/>
      <c r="J22" s="1"/>
    </row>
    <row r="23" spans="1:15" customFormat="1" ht="16.5" x14ac:dyDescent="0.3">
      <c r="A23" s="56" t="str" cm="1">
        <f t="array" aca="1" ref="A23" ca="1">IFERROR(
  INDEX(tbl_ploegen,SMALL(Ploegen!$AG$3:$AG$27,ROW(INDIRECT("A"&amp;(ROW()-9)/14+1)))-2,1),
  ""
)</f>
        <v/>
      </c>
      <c r="B23" s="56"/>
      <c r="C23" s="3" t="str">
        <f ca="1">IF(F23="","","A")</f>
        <v>A</v>
      </c>
      <c r="D23" s="40" t="s">
        <v>71</v>
      </c>
      <c r="E23" s="40"/>
      <c r="F23" s="3">
        <f ca="1">SUMIF(tbl_ploegen,A23,Uitslagen_A)</f>
        <v>0</v>
      </c>
      <c r="G23" s="197" t="s">
        <v>70</v>
      </c>
      <c r="H23" s="6">
        <f t="shared" ref="H23:H28" ca="1" si="3">IF(F23="","",IF(ISNA(VLOOKUP(F23,tbl_prijzen,13,FALSE)),0,VLOOKUP(F23,tbl_prijzen,13,FALSE)))</f>
        <v>0</v>
      </c>
      <c r="I23" s="2"/>
      <c r="J23" s="1"/>
      <c r="O23" s="196"/>
    </row>
    <row r="24" spans="1:15" customFormat="1" ht="16.5" x14ac:dyDescent="0.3">
      <c r="A24" s="2"/>
      <c r="B24" s="2"/>
      <c r="C24" s="3" t="str">
        <f ca="1">IF(F24="","","B")</f>
        <v/>
      </c>
      <c r="D24" s="40" t="str">
        <f t="shared" ref="D24:D26" ca="1" si="4">IF(F24="","","ploeg")</f>
        <v/>
      </c>
      <c r="E24" s="40"/>
      <c r="F24" s="3" t="str">
        <f ca="1">IF(SUMIF(tbl_ploegen,A23,Uitslagen_B)&gt;0,SUMIF(tbl_ploegen,A23,Uitslagen_B),"")</f>
        <v/>
      </c>
      <c r="G24" s="8" t="str">
        <f t="shared" ref="G24:G26" ca="1" si="5">IF(F24="","","/30")</f>
        <v/>
      </c>
      <c r="H24" s="6" t="str">
        <f t="shared" ca="1" si="3"/>
        <v/>
      </c>
      <c r="I24" s="5"/>
      <c r="J24" s="1"/>
    </row>
    <row r="25" spans="1:15" customFormat="1" ht="15.75" x14ac:dyDescent="0.25">
      <c r="A25" s="2"/>
      <c r="B25" s="2"/>
      <c r="C25" s="3" t="str">
        <f ca="1">IF(F25="","","C")</f>
        <v/>
      </c>
      <c r="D25" s="40" t="str">
        <f t="shared" ca="1" si="4"/>
        <v/>
      </c>
      <c r="E25" s="40"/>
      <c r="F25" s="3" t="str">
        <f ca="1">IF(SUMIF(tbl_ploegen,A23,Uitslagen_C)&gt;0,SUMIF(tbl_ploegen,A23,Uitslagen_C),"")</f>
        <v/>
      </c>
      <c r="G25" s="8" t="str">
        <f t="shared" ca="1" si="5"/>
        <v/>
      </c>
      <c r="H25" s="6" t="str">
        <f t="shared" ca="1" si="3"/>
        <v/>
      </c>
      <c r="I25" s="5"/>
      <c r="J25" s="196"/>
    </row>
    <row r="26" spans="1:15" customFormat="1" ht="16.5" x14ac:dyDescent="0.3">
      <c r="A26" s="2"/>
      <c r="B26" s="2"/>
      <c r="C26" s="3" t="str">
        <f ca="1">IF(F26="","","D")</f>
        <v/>
      </c>
      <c r="D26" s="40" t="str">
        <f t="shared" ca="1" si="4"/>
        <v/>
      </c>
      <c r="E26" s="40"/>
      <c r="F26" s="3" t="str">
        <f ca="1">IF(SUMIF(tbl_ploegen,A23,Uitslagen_D)&gt;0,SUMIF(tbl_ploegen,A23,Uitslagen_D),"")</f>
        <v/>
      </c>
      <c r="G26" s="8" t="str">
        <f t="shared" ca="1" si="5"/>
        <v/>
      </c>
      <c r="H26" s="6" t="str">
        <f t="shared" ca="1" si="3"/>
        <v/>
      </c>
      <c r="I26" s="7" t="s">
        <v>72</v>
      </c>
      <c r="J26" s="1"/>
    </row>
    <row r="27" spans="1:15" customFormat="1" ht="16.5" x14ac:dyDescent="0.3">
      <c r="A27" s="2"/>
      <c r="B27" s="2"/>
      <c r="C27" s="3" t="str">
        <f ca="1">IF(F27="","","E")</f>
        <v/>
      </c>
      <c r="D27" s="329" t="str">
        <f ca="1">IF(F27="","","ploeg")</f>
        <v/>
      </c>
      <c r="E27" s="329"/>
      <c r="F27" s="3" t="str">
        <f ca="1">IF(SUMIF(tbl_ploegen,A23,Uitslagen_E)&gt;0,SUMIF(tbl_ploegen,A23,Uitslagen_E),"")</f>
        <v/>
      </c>
      <c r="G27" s="8" t="str">
        <f ca="1">IF(F27="","","/30")</f>
        <v/>
      </c>
      <c r="H27" s="6" t="str">
        <f t="shared" ca="1" si="3"/>
        <v/>
      </c>
      <c r="I27" s="9">
        <f ca="1">SUM(H23:H28)</f>
        <v>0</v>
      </c>
      <c r="J27" s="1"/>
    </row>
    <row r="28" spans="1:15" customFormat="1" ht="16.5" x14ac:dyDescent="0.3">
      <c r="A28" s="2"/>
      <c r="B28" s="2"/>
      <c r="C28" s="3" t="str">
        <f ca="1">IF(F28="","","F")</f>
        <v>F</v>
      </c>
      <c r="D28" s="329" t="str">
        <f ca="1">IF(F28="","","ploeg")</f>
        <v>ploeg</v>
      </c>
      <c r="E28" s="329"/>
      <c r="F28" s="3">
        <f ca="1">IF(SUMIF(tbl_ploegen,A23,Uitslagen_F)&gt;0,SUMIF(tbl_ploegen,A23,Uitslagen_F),"")</f>
        <v>46174</v>
      </c>
      <c r="G28" s="8" t="str">
        <f ca="1">IF(F28="","","/30")</f>
        <v>/30</v>
      </c>
      <c r="H28" s="6">
        <f t="shared" ca="1" si="3"/>
        <v>0</v>
      </c>
      <c r="I28" s="196"/>
      <c r="J28" s="1"/>
    </row>
    <row r="29" spans="1:15" customFormat="1" ht="16.5" x14ac:dyDescent="0.3">
      <c r="A29" s="1"/>
      <c r="B29" s="1"/>
      <c r="C29" s="1"/>
      <c r="D29" s="41"/>
      <c r="E29" s="41"/>
      <c r="F29" s="41"/>
      <c r="G29" s="41"/>
      <c r="H29" s="55" t="str">
        <f>Ploegen!$C$1</f>
        <v>VRIENDENSCHIETING - LAREN</v>
      </c>
      <c r="I29" s="25">
        <f>Ploegen!$H$1</f>
        <v>46172</v>
      </c>
      <c r="J29" s="1"/>
    </row>
    <row r="30" spans="1:15" customFormat="1" ht="15.75" x14ac:dyDescent="0.25">
      <c r="A30" s="196"/>
      <c r="B30" s="196"/>
      <c r="C30" s="196"/>
      <c r="D30" s="196"/>
      <c r="E30" s="196"/>
      <c r="F30" s="196"/>
      <c r="G30" s="196"/>
      <c r="H30" s="55"/>
      <c r="I30" s="25"/>
      <c r="J30" s="40"/>
    </row>
    <row r="31" spans="1:15" customFormat="1" ht="16.5" x14ac:dyDescent="0.3">
      <c r="A31" s="2">
        <f>aantal_ploegen</f>
        <v>0</v>
      </c>
      <c r="B31" s="2" t="s">
        <v>69</v>
      </c>
      <c r="C31" s="3">
        <f>Aantal_30</f>
        <v>0</v>
      </c>
      <c r="D31" s="3">
        <v>30</v>
      </c>
      <c r="E31" s="197" t="s">
        <v>70</v>
      </c>
      <c r="F31" s="4">
        <f>Bedrag_per_ploeg_30</f>
        <v>0</v>
      </c>
      <c r="G31" s="196"/>
      <c r="H31" s="59"/>
      <c r="I31" s="1"/>
      <c r="J31" s="1"/>
    </row>
    <row r="32" spans="1:15" customFormat="1" ht="16.5" x14ac:dyDescent="0.3">
      <c r="A32" s="2"/>
      <c r="B32" s="2"/>
      <c r="C32" s="3">
        <f>Aantal_29</f>
        <v>0</v>
      </c>
      <c r="D32" s="3">
        <v>29</v>
      </c>
      <c r="E32" s="197" t="s">
        <v>70</v>
      </c>
      <c r="F32" s="4">
        <f>Bedrag_per_ploeg_29</f>
        <v>0</v>
      </c>
      <c r="G32" s="196"/>
      <c r="H32" s="59"/>
      <c r="I32" s="1"/>
      <c r="J32" s="1"/>
    </row>
    <row r="33" spans="1:10" customFormat="1" ht="16.5" x14ac:dyDescent="0.3">
      <c r="A33" s="2"/>
      <c r="B33" s="2"/>
      <c r="C33" s="3">
        <f>Aantal_28</f>
        <v>0</v>
      </c>
      <c r="D33" s="3">
        <v>28</v>
      </c>
      <c r="E33" s="197" t="s">
        <v>70</v>
      </c>
      <c r="F33" s="4">
        <f>Bedrag_per_ploeg_28</f>
        <v>0</v>
      </c>
      <c r="G33" s="4"/>
      <c r="H33" s="5"/>
      <c r="I33" s="1"/>
      <c r="J33" s="1"/>
    </row>
    <row r="34" spans="1:10" customFormat="1" ht="16.5" x14ac:dyDescent="0.3">
      <c r="A34" s="2"/>
      <c r="B34" s="2"/>
      <c r="C34" s="3" t="str">
        <f>IF(Bedrag_per_ploeg_27&gt;0,Aantal_27,"")</f>
        <v/>
      </c>
      <c r="D34" s="3" t="str">
        <f>IF(Bedrag_per_ploeg_27&gt;0,27,"")</f>
        <v/>
      </c>
      <c r="E34" s="197" t="str">
        <f>IF(Bedrag_per_ploeg_27&gt;0,"/30","")</f>
        <v/>
      </c>
      <c r="F34" s="4" t="str">
        <f>IF(Bedrag_per_ploeg_27&gt;0,Bedrag_per_ploeg_27,"")</f>
        <v/>
      </c>
      <c r="G34" s="4"/>
      <c r="H34" s="5"/>
      <c r="I34" s="2"/>
      <c r="J34" s="1"/>
    </row>
    <row r="35" spans="1:10" customFormat="1" ht="16.5" x14ac:dyDescent="0.3">
      <c r="A35" s="196"/>
      <c r="B35" s="196"/>
      <c r="C35" s="3" t="str">
        <f>IF(Bedrag_per_ploeg_26&gt;0,Aantal_26,"")</f>
        <v/>
      </c>
      <c r="D35" s="3" t="str">
        <f>IF(Bedrag_per_ploeg_26&gt;0,26,"")</f>
        <v/>
      </c>
      <c r="E35" s="197" t="str">
        <f>IF(Bedrag_per_ploeg_26&gt;0,"/30","")</f>
        <v/>
      </c>
      <c r="F35" s="4" t="str">
        <f>IF(Bedrag_per_ploeg_26&gt;0,Bedrag_per_ploeg_26,"")</f>
        <v/>
      </c>
      <c r="G35" s="4"/>
      <c r="H35" s="2"/>
      <c r="I35" s="2"/>
      <c r="J35" s="1"/>
    </row>
    <row r="36" spans="1:10" customFormat="1" ht="16.5" x14ac:dyDescent="0.3">
      <c r="A36" s="196"/>
      <c r="B36" s="196"/>
      <c r="C36" s="3" t="str">
        <f>IF(Bedrag_per_ploeg_25&gt;0,Aantal_25,"")</f>
        <v/>
      </c>
      <c r="D36" s="3" t="str">
        <f>IF(Bedrag_per_ploeg_25&gt;0,25,"")</f>
        <v/>
      </c>
      <c r="E36" s="197" t="str">
        <f>IF(Bedrag_per_ploeg_25&gt;0,"/30","")</f>
        <v/>
      </c>
      <c r="F36" s="4" t="str">
        <f>IF(Bedrag_per_ploeg_25&gt;0,Bedrag_per_ploeg_25,"")</f>
        <v/>
      </c>
      <c r="G36" s="4"/>
      <c r="H36" s="5"/>
      <c r="I36" s="2"/>
      <c r="J36" s="1"/>
    </row>
    <row r="37" spans="1:10" customFormat="1" ht="16.5" x14ac:dyDescent="0.3">
      <c r="A37" s="56" t="str" cm="1">
        <f t="array" aca="1" ref="A37" ca="1">IFERROR(
  INDEX(tbl_ploegen,SMALL(Ploegen!$AG$3:$AG$27,ROW(INDIRECT("A"&amp;(ROW()-9)/14+1)))-2,1),
  ""
)</f>
        <v/>
      </c>
      <c r="B37" s="56"/>
      <c r="C37" s="3" t="str">
        <f ca="1">IF(F37="","","A")</f>
        <v>A</v>
      </c>
      <c r="D37" s="40" t="s">
        <v>71</v>
      </c>
      <c r="E37" s="40"/>
      <c r="F37" s="3">
        <f ca="1">SUMIF(tbl_ploegen,A37,Uitslagen_A)</f>
        <v>0</v>
      </c>
      <c r="G37" s="197" t="s">
        <v>70</v>
      </c>
      <c r="H37" s="6">
        <f t="shared" ref="H37:H42" ca="1" si="6">IF(F37="","",IF(ISNA(VLOOKUP(F37,tbl_prijzen,13,FALSE)),0,VLOOKUP(F37,tbl_prijzen,13,FALSE)))</f>
        <v>0</v>
      </c>
      <c r="I37" s="2"/>
      <c r="J37" s="1"/>
    </row>
    <row r="38" spans="1:10" customFormat="1" ht="16.5" x14ac:dyDescent="0.3">
      <c r="A38" s="2"/>
      <c r="B38" s="2"/>
      <c r="C38" s="3" t="str">
        <f ca="1">IF(F38="","","B")</f>
        <v/>
      </c>
      <c r="D38" s="40" t="str">
        <f t="shared" ref="D38:D40" ca="1" si="7">IF(F38="","","ploeg")</f>
        <v/>
      </c>
      <c r="E38" s="40"/>
      <c r="F38" s="3" t="str">
        <f ca="1">IF(SUMIF(tbl_ploegen,A37,Uitslagen_B)&gt;0,SUMIF(tbl_ploegen,A37,Uitslagen_B),"")</f>
        <v/>
      </c>
      <c r="G38" s="8" t="str">
        <f t="shared" ref="G38:G40" ca="1" si="8">IF(F38="","","/30")</f>
        <v/>
      </c>
      <c r="H38" s="6" t="str">
        <f t="shared" ca="1" si="6"/>
        <v/>
      </c>
      <c r="I38" s="5"/>
      <c r="J38" s="1"/>
    </row>
    <row r="39" spans="1:10" customFormat="1" ht="15.75" x14ac:dyDescent="0.25">
      <c r="A39" s="2"/>
      <c r="B39" s="2"/>
      <c r="C39" s="3" t="str">
        <f ca="1">IF(F39="","","C")</f>
        <v/>
      </c>
      <c r="D39" s="40" t="str">
        <f t="shared" ca="1" si="7"/>
        <v/>
      </c>
      <c r="E39" s="40"/>
      <c r="F39" s="3" t="str">
        <f ca="1">IF(SUMIF(tbl_ploegen,A37,Uitslagen_C)&gt;0,SUMIF(tbl_ploegen,A37,Uitslagen_C),"")</f>
        <v/>
      </c>
      <c r="G39" s="8" t="str">
        <f t="shared" ca="1" si="8"/>
        <v/>
      </c>
      <c r="H39" s="6" t="str">
        <f t="shared" ca="1" si="6"/>
        <v/>
      </c>
      <c r="I39" s="5"/>
      <c r="J39" s="196"/>
    </row>
    <row r="40" spans="1:10" customFormat="1" ht="16.5" x14ac:dyDescent="0.3">
      <c r="A40" s="2"/>
      <c r="B40" s="2"/>
      <c r="C40" s="3" t="str">
        <f ca="1">IF(F40="","","D")</f>
        <v/>
      </c>
      <c r="D40" s="40" t="str">
        <f t="shared" ca="1" si="7"/>
        <v/>
      </c>
      <c r="E40" s="40"/>
      <c r="F40" s="3" t="str">
        <f ca="1">IF(SUMIF(tbl_ploegen,A37,Uitslagen_D)&gt;0,SUMIF(tbl_ploegen,A37,Uitslagen_D),"")</f>
        <v/>
      </c>
      <c r="G40" s="8" t="str">
        <f t="shared" ca="1" si="8"/>
        <v/>
      </c>
      <c r="H40" s="6" t="str">
        <f t="shared" ca="1" si="6"/>
        <v/>
      </c>
      <c r="I40" s="7" t="s">
        <v>72</v>
      </c>
      <c r="J40" s="1"/>
    </row>
    <row r="41" spans="1:10" customFormat="1" ht="16.5" x14ac:dyDescent="0.3">
      <c r="A41" s="2"/>
      <c r="B41" s="2"/>
      <c r="C41" s="3" t="str">
        <f ca="1">IF(F41="","","E")</f>
        <v/>
      </c>
      <c r="D41" s="329" t="str">
        <f ca="1">IF(F41="","","ploeg")</f>
        <v/>
      </c>
      <c r="E41" s="329"/>
      <c r="F41" s="3" t="str">
        <f ca="1">IF(SUMIF(tbl_ploegen,A37,Uitslagen_E)&gt;0,SUMIF(tbl_ploegen,A37,Uitslagen_E),"")</f>
        <v/>
      </c>
      <c r="G41" s="8" t="str">
        <f ca="1">IF(F41="","","/30")</f>
        <v/>
      </c>
      <c r="H41" s="6" t="str">
        <f t="shared" ca="1" si="6"/>
        <v/>
      </c>
      <c r="I41" s="9">
        <f ca="1">SUM(H37:H42)</f>
        <v>0</v>
      </c>
      <c r="J41" s="1"/>
    </row>
    <row r="42" spans="1:10" customFormat="1" ht="16.5" x14ac:dyDescent="0.3">
      <c r="A42" s="2"/>
      <c r="B42" s="2"/>
      <c r="C42" s="3" t="str">
        <f ca="1">IF(F42="","","F")</f>
        <v>F</v>
      </c>
      <c r="D42" s="329" t="str">
        <f ca="1">IF(F42="","","ploeg")</f>
        <v>ploeg</v>
      </c>
      <c r="E42" s="329"/>
      <c r="F42" s="3">
        <f ca="1">IF(SUMIF(tbl_ploegen,A37,Uitslagen_F)&gt;0,SUMIF(tbl_ploegen,A37,Uitslagen_F),"")</f>
        <v>46174</v>
      </c>
      <c r="G42" s="8" t="str">
        <f ca="1">IF(F42="","","/30")</f>
        <v>/30</v>
      </c>
      <c r="H42" s="6">
        <f t="shared" ca="1" si="6"/>
        <v>0</v>
      </c>
      <c r="I42" s="196"/>
      <c r="J42" s="1"/>
    </row>
    <row r="43" spans="1:10" customFormat="1" ht="16.5" x14ac:dyDescent="0.3">
      <c r="A43" s="1"/>
      <c r="B43" s="1"/>
      <c r="C43" s="1"/>
      <c r="D43" s="41"/>
      <c r="E43" s="41"/>
      <c r="F43" s="41"/>
      <c r="G43" s="41"/>
      <c r="H43" s="55" t="str">
        <f>Ploegen!$C$1</f>
        <v>VRIENDENSCHIETING - LAREN</v>
      </c>
      <c r="I43" s="25">
        <f>Ploegen!$H$1</f>
        <v>46172</v>
      </c>
      <c r="J43" s="1"/>
    </row>
    <row r="44" spans="1:10" customFormat="1" ht="15.75" x14ac:dyDescent="0.25">
      <c r="A44" s="196"/>
      <c r="B44" s="196"/>
      <c r="C44" s="196"/>
      <c r="D44" s="196"/>
      <c r="E44" s="196"/>
      <c r="F44" s="196"/>
      <c r="G44" s="196"/>
      <c r="H44" s="55"/>
      <c r="I44" s="25"/>
      <c r="J44" s="40"/>
    </row>
    <row r="45" spans="1:10" customFormat="1" ht="16.5" x14ac:dyDescent="0.3">
      <c r="A45" s="2">
        <f>aantal_ploegen</f>
        <v>0</v>
      </c>
      <c r="B45" s="2" t="s">
        <v>69</v>
      </c>
      <c r="C45" s="3">
        <f>Aantal_30</f>
        <v>0</v>
      </c>
      <c r="D45" s="3">
        <v>30</v>
      </c>
      <c r="E45" s="197" t="s">
        <v>70</v>
      </c>
      <c r="F45" s="4">
        <f>Bedrag_per_ploeg_30</f>
        <v>0</v>
      </c>
      <c r="G45" s="196"/>
      <c r="H45" s="59"/>
      <c r="I45" s="1"/>
      <c r="J45" s="1"/>
    </row>
    <row r="46" spans="1:10" customFormat="1" ht="16.5" x14ac:dyDescent="0.3">
      <c r="A46" s="2"/>
      <c r="B46" s="2"/>
      <c r="C46" s="3">
        <f>Aantal_29</f>
        <v>0</v>
      </c>
      <c r="D46" s="3">
        <v>29</v>
      </c>
      <c r="E46" s="197" t="s">
        <v>70</v>
      </c>
      <c r="F46" s="4">
        <f>Bedrag_per_ploeg_29</f>
        <v>0</v>
      </c>
      <c r="G46" s="196"/>
      <c r="H46" s="59"/>
      <c r="I46" s="1"/>
      <c r="J46" s="1"/>
    </row>
    <row r="47" spans="1:10" customFormat="1" ht="16.5" x14ac:dyDescent="0.3">
      <c r="A47" s="2"/>
      <c r="B47" s="2"/>
      <c r="C47" s="3">
        <f>Aantal_28</f>
        <v>0</v>
      </c>
      <c r="D47" s="3">
        <v>28</v>
      </c>
      <c r="E47" s="197" t="s">
        <v>70</v>
      </c>
      <c r="F47" s="4">
        <f>Bedrag_per_ploeg_28</f>
        <v>0</v>
      </c>
      <c r="G47" s="4"/>
      <c r="H47" s="5"/>
      <c r="I47" s="1"/>
      <c r="J47" s="1"/>
    </row>
    <row r="48" spans="1:10" customFormat="1" ht="16.5" x14ac:dyDescent="0.3">
      <c r="A48" s="2"/>
      <c r="B48" s="2"/>
      <c r="C48" s="3" t="str">
        <f>IF(Bedrag_per_ploeg_27&gt;0,Aantal_27,"")</f>
        <v/>
      </c>
      <c r="D48" s="3" t="str">
        <f>IF(Bedrag_per_ploeg_27&gt;0,27,"")</f>
        <v/>
      </c>
      <c r="E48" s="197" t="str">
        <f>IF(Bedrag_per_ploeg_27&gt;0,"/30","")</f>
        <v/>
      </c>
      <c r="F48" s="4" t="str">
        <f>IF(Bedrag_per_ploeg_27&gt;0,Bedrag_per_ploeg_27,"")</f>
        <v/>
      </c>
      <c r="G48" s="4"/>
      <c r="H48" s="5"/>
      <c r="I48" s="2"/>
      <c r="J48" s="1"/>
    </row>
    <row r="49" spans="1:10" customFormat="1" ht="16.5" x14ac:dyDescent="0.3">
      <c r="A49" s="196"/>
      <c r="B49" s="196"/>
      <c r="C49" s="3" t="str">
        <f>IF(Bedrag_per_ploeg_26&gt;0,Aantal_26,"")</f>
        <v/>
      </c>
      <c r="D49" s="3" t="str">
        <f>IF(Bedrag_per_ploeg_26&gt;0,26,"")</f>
        <v/>
      </c>
      <c r="E49" s="197" t="str">
        <f>IF(Bedrag_per_ploeg_26&gt;0,"/30","")</f>
        <v/>
      </c>
      <c r="F49" s="4" t="str">
        <f>IF(Bedrag_per_ploeg_26&gt;0,Bedrag_per_ploeg_26,"")</f>
        <v/>
      </c>
      <c r="G49" s="4"/>
      <c r="H49" s="2"/>
      <c r="I49" s="2"/>
      <c r="J49" s="1"/>
    </row>
    <row r="50" spans="1:10" customFormat="1" ht="16.5" x14ac:dyDescent="0.3">
      <c r="A50" s="196"/>
      <c r="B50" s="196"/>
      <c r="C50" s="3" t="str">
        <f>IF(Bedrag_per_ploeg_25&gt;0,Aantal_25,"")</f>
        <v/>
      </c>
      <c r="D50" s="3" t="str">
        <f>IF(Bedrag_per_ploeg_25&gt;0,25,"")</f>
        <v/>
      </c>
      <c r="E50" s="197" t="str">
        <f>IF(Bedrag_per_ploeg_25&gt;0,"/30","")</f>
        <v/>
      </c>
      <c r="F50" s="4" t="str">
        <f>IF(Bedrag_per_ploeg_25&gt;0,Bedrag_per_ploeg_25,"")</f>
        <v/>
      </c>
      <c r="G50" s="4"/>
      <c r="H50" s="5"/>
      <c r="I50" s="2"/>
      <c r="J50" s="1"/>
    </row>
    <row r="51" spans="1:10" customFormat="1" ht="16.5" x14ac:dyDescent="0.3">
      <c r="A51" s="56" t="str" cm="1">
        <f t="array" aca="1" ref="A51" ca="1">IFERROR(
  INDEX(tbl_ploegen,SMALL(Ploegen!$AG$3:$AG$27,ROW(INDIRECT("A"&amp;(ROW()-9)/14+1)))-2,1),
  ""
)</f>
        <v/>
      </c>
      <c r="B51" s="56"/>
      <c r="C51" s="3" t="str">
        <f ca="1">IF(F51="","","A")</f>
        <v>A</v>
      </c>
      <c r="D51" s="40" t="s">
        <v>71</v>
      </c>
      <c r="E51" s="40"/>
      <c r="F51" s="3">
        <f ca="1">SUMIF(tbl_ploegen,A51,Uitslagen_A)</f>
        <v>0</v>
      </c>
      <c r="G51" s="197" t="s">
        <v>70</v>
      </c>
      <c r="H51" s="6">
        <f t="shared" ref="H51:H56" ca="1" si="9">IF(F51="","",IF(ISNA(VLOOKUP(F51,tbl_prijzen,13,FALSE)),0,VLOOKUP(F51,tbl_prijzen,13,FALSE)))</f>
        <v>0</v>
      </c>
      <c r="I51" s="2"/>
      <c r="J51" s="1"/>
    </row>
    <row r="52" spans="1:10" customFormat="1" ht="16.5" x14ac:dyDescent="0.3">
      <c r="A52" s="2"/>
      <c r="B52" s="2"/>
      <c r="C52" s="3" t="str">
        <f ca="1">IF(F52="","","B")</f>
        <v/>
      </c>
      <c r="D52" s="40" t="str">
        <f t="shared" ref="D52:D54" ca="1" si="10">IF(F52="","","ploeg")</f>
        <v/>
      </c>
      <c r="E52" s="40"/>
      <c r="F52" s="3" t="str">
        <f ca="1">IF(SUMIF(tbl_ploegen,A51,Uitslagen_B)&gt;0,SUMIF(tbl_ploegen,A51,Uitslagen_B),"")</f>
        <v/>
      </c>
      <c r="G52" s="8" t="str">
        <f t="shared" ref="G52:G54" ca="1" si="11">IF(F52="","","/30")</f>
        <v/>
      </c>
      <c r="H52" s="6" t="str">
        <f t="shared" ca="1" si="9"/>
        <v/>
      </c>
      <c r="I52" s="5"/>
      <c r="J52" s="1"/>
    </row>
    <row r="53" spans="1:10" customFormat="1" ht="15.75" x14ac:dyDescent="0.25">
      <c r="A53" s="2"/>
      <c r="B53" s="2"/>
      <c r="C53" s="3" t="str">
        <f ca="1">IF(F53="","","C")</f>
        <v/>
      </c>
      <c r="D53" s="40" t="str">
        <f t="shared" ca="1" si="10"/>
        <v/>
      </c>
      <c r="E53" s="40"/>
      <c r="F53" s="3" t="str">
        <f ca="1">IF(SUMIF(tbl_ploegen,A51,Uitslagen_C)&gt;0,SUMIF(tbl_ploegen,A51,Uitslagen_C),"")</f>
        <v/>
      </c>
      <c r="G53" s="8" t="str">
        <f t="shared" ca="1" si="11"/>
        <v/>
      </c>
      <c r="H53" s="6" t="str">
        <f t="shared" ca="1" si="9"/>
        <v/>
      </c>
      <c r="I53" s="5"/>
      <c r="J53" s="196"/>
    </row>
    <row r="54" spans="1:10" customFormat="1" ht="16.5" x14ac:dyDescent="0.3">
      <c r="A54" s="2"/>
      <c r="B54" s="2"/>
      <c r="C54" s="3" t="str">
        <f ca="1">IF(F54="","","D")</f>
        <v/>
      </c>
      <c r="D54" s="40" t="str">
        <f t="shared" ca="1" si="10"/>
        <v/>
      </c>
      <c r="E54" s="40"/>
      <c r="F54" s="3" t="str">
        <f ca="1">IF(SUMIF(tbl_ploegen,A51,Uitslagen_D)&gt;0,SUMIF(tbl_ploegen,A51,Uitslagen_D),"")</f>
        <v/>
      </c>
      <c r="G54" s="8" t="str">
        <f t="shared" ca="1" si="11"/>
        <v/>
      </c>
      <c r="H54" s="6" t="str">
        <f t="shared" ca="1" si="9"/>
        <v/>
      </c>
      <c r="I54" s="7" t="s">
        <v>72</v>
      </c>
      <c r="J54" s="1"/>
    </row>
    <row r="55" spans="1:10" customFormat="1" ht="16.5" x14ac:dyDescent="0.3">
      <c r="A55" s="2"/>
      <c r="B55" s="2"/>
      <c r="C55" s="3" t="str">
        <f ca="1">IF(F55="","","E")</f>
        <v/>
      </c>
      <c r="D55" s="329" t="str">
        <f ca="1">IF(F55="","","ploeg")</f>
        <v/>
      </c>
      <c r="E55" s="329"/>
      <c r="F55" s="3" t="str">
        <f ca="1">IF(SUMIF(tbl_ploegen,A51,Uitslagen_E)&gt;0,SUMIF(tbl_ploegen,A51,Uitslagen_E),"")</f>
        <v/>
      </c>
      <c r="G55" s="8" t="str">
        <f ca="1">IF(F55="","","/30")</f>
        <v/>
      </c>
      <c r="H55" s="6" t="str">
        <f t="shared" ca="1" si="9"/>
        <v/>
      </c>
      <c r="I55" s="9">
        <f ca="1">SUM(H51:H56)</f>
        <v>0</v>
      </c>
      <c r="J55" s="1"/>
    </row>
    <row r="56" spans="1:10" customFormat="1" ht="16.5" x14ac:dyDescent="0.3">
      <c r="A56" s="2"/>
      <c r="B56" s="2"/>
      <c r="C56" s="3" t="str">
        <f ca="1">IF(F56="","","F")</f>
        <v>F</v>
      </c>
      <c r="D56" s="329" t="str">
        <f ca="1">IF(F56="","","ploeg")</f>
        <v>ploeg</v>
      </c>
      <c r="E56" s="329"/>
      <c r="F56" s="3">
        <f ca="1">IF(SUMIF(tbl_ploegen,A51,Uitslagen_F)&gt;0,SUMIF(tbl_ploegen,A51,Uitslagen_F),"")</f>
        <v>46174</v>
      </c>
      <c r="G56" s="8" t="str">
        <f ca="1">IF(F56="","","/30")</f>
        <v>/30</v>
      </c>
      <c r="H56" s="6">
        <f t="shared" ca="1" si="9"/>
        <v>0</v>
      </c>
      <c r="I56" s="196"/>
      <c r="J56" s="1"/>
    </row>
    <row r="57" spans="1:10" customFormat="1" ht="16.5" x14ac:dyDescent="0.3">
      <c r="A57" s="1"/>
      <c r="B57" s="1"/>
      <c r="C57" s="1"/>
      <c r="D57" s="41"/>
      <c r="E57" s="41"/>
      <c r="F57" s="41"/>
      <c r="G57" s="41"/>
      <c r="H57" s="55" t="str">
        <f>Ploegen!$C$1</f>
        <v>VRIENDENSCHIETING - LAREN</v>
      </c>
      <c r="I57" s="25">
        <f>Ploegen!$H$1</f>
        <v>46172</v>
      </c>
      <c r="J57" s="1"/>
    </row>
    <row r="58" spans="1:10" customFormat="1" ht="15.75" x14ac:dyDescent="0.25">
      <c r="A58" s="196"/>
      <c r="B58" s="196"/>
      <c r="C58" s="196"/>
      <c r="D58" s="196"/>
      <c r="E58" s="196"/>
      <c r="F58" s="196"/>
      <c r="G58" s="196"/>
      <c r="H58" s="55"/>
      <c r="I58" s="25"/>
      <c r="J58" s="40"/>
    </row>
    <row r="59" spans="1:10" customFormat="1" ht="16.5" x14ac:dyDescent="0.3">
      <c r="A59" s="2">
        <f>aantal_ploegen</f>
        <v>0</v>
      </c>
      <c r="B59" s="2" t="s">
        <v>69</v>
      </c>
      <c r="C59" s="3">
        <f>Aantal_30</f>
        <v>0</v>
      </c>
      <c r="D59" s="3">
        <v>30</v>
      </c>
      <c r="E59" s="197" t="s">
        <v>70</v>
      </c>
      <c r="F59" s="4">
        <f>Bedrag_per_ploeg_30</f>
        <v>0</v>
      </c>
      <c r="G59" s="196"/>
      <c r="H59" s="59"/>
      <c r="I59" s="1"/>
      <c r="J59" s="1"/>
    </row>
    <row r="60" spans="1:10" customFormat="1" ht="16.5" x14ac:dyDescent="0.3">
      <c r="A60" s="2"/>
      <c r="B60" s="2"/>
      <c r="C60" s="3">
        <f>Aantal_29</f>
        <v>0</v>
      </c>
      <c r="D60" s="3">
        <v>29</v>
      </c>
      <c r="E60" s="197" t="s">
        <v>70</v>
      </c>
      <c r="F60" s="4">
        <f>Bedrag_per_ploeg_29</f>
        <v>0</v>
      </c>
      <c r="G60" s="196"/>
      <c r="H60" s="59"/>
      <c r="I60" s="1"/>
      <c r="J60" s="1"/>
    </row>
    <row r="61" spans="1:10" customFormat="1" ht="16.5" x14ac:dyDescent="0.3">
      <c r="A61" s="2"/>
      <c r="B61" s="2"/>
      <c r="C61" s="3">
        <f>Aantal_28</f>
        <v>0</v>
      </c>
      <c r="D61" s="3">
        <v>28</v>
      </c>
      <c r="E61" s="197" t="s">
        <v>70</v>
      </c>
      <c r="F61" s="4">
        <f>Bedrag_per_ploeg_28</f>
        <v>0</v>
      </c>
      <c r="G61" s="4"/>
      <c r="H61" s="5"/>
      <c r="I61" s="1"/>
      <c r="J61" s="1"/>
    </row>
    <row r="62" spans="1:10" customFormat="1" ht="16.5" x14ac:dyDescent="0.3">
      <c r="A62" s="2"/>
      <c r="B62" s="2"/>
      <c r="C62" s="3" t="str">
        <f>IF(Bedrag_per_ploeg_27&gt;0,Aantal_27,"")</f>
        <v/>
      </c>
      <c r="D62" s="3" t="str">
        <f>IF(Bedrag_per_ploeg_27&gt;0,27,"")</f>
        <v/>
      </c>
      <c r="E62" s="197" t="str">
        <f>IF(Bedrag_per_ploeg_27&gt;0,"/30","")</f>
        <v/>
      </c>
      <c r="F62" s="4" t="str">
        <f>IF(Bedrag_per_ploeg_27&gt;0,Bedrag_per_ploeg_27,"")</f>
        <v/>
      </c>
      <c r="G62" s="4"/>
      <c r="H62" s="5"/>
      <c r="I62" s="2"/>
      <c r="J62" s="1"/>
    </row>
    <row r="63" spans="1:10" customFormat="1" ht="16.5" x14ac:dyDescent="0.3">
      <c r="A63" s="196"/>
      <c r="B63" s="196"/>
      <c r="C63" s="3" t="str">
        <f>IF(Bedrag_per_ploeg_26&gt;0,Aantal_26,"")</f>
        <v/>
      </c>
      <c r="D63" s="3" t="str">
        <f>IF(Bedrag_per_ploeg_26&gt;0,26,"")</f>
        <v/>
      </c>
      <c r="E63" s="197" t="str">
        <f>IF(Bedrag_per_ploeg_26&gt;0,"/30","")</f>
        <v/>
      </c>
      <c r="F63" s="4" t="str">
        <f>IF(Bedrag_per_ploeg_26&gt;0,Bedrag_per_ploeg_26,"")</f>
        <v/>
      </c>
      <c r="G63" s="4"/>
      <c r="H63" s="2"/>
      <c r="I63" s="2"/>
      <c r="J63" s="1"/>
    </row>
    <row r="64" spans="1:10" customFormat="1" ht="16.5" x14ac:dyDescent="0.3">
      <c r="A64" s="196"/>
      <c r="B64" s="196"/>
      <c r="C64" s="3" t="str">
        <f>IF(Bedrag_per_ploeg_25&gt;0,Aantal_25,"")</f>
        <v/>
      </c>
      <c r="D64" s="3" t="str">
        <f>IF(Bedrag_per_ploeg_25&gt;0,25,"")</f>
        <v/>
      </c>
      <c r="E64" s="197" t="str">
        <f>IF(Bedrag_per_ploeg_25&gt;0,"/30","")</f>
        <v/>
      </c>
      <c r="F64" s="4" t="str">
        <f>IF(Bedrag_per_ploeg_25&gt;0,Bedrag_per_ploeg_25,"")</f>
        <v/>
      </c>
      <c r="G64" s="4"/>
      <c r="H64" s="5"/>
      <c r="I64" s="2"/>
      <c r="J64" s="1"/>
    </row>
    <row r="65" spans="1:10" customFormat="1" ht="16.5" x14ac:dyDescent="0.3">
      <c r="A65" s="56" t="str" cm="1">
        <f t="array" aca="1" ref="A65" ca="1">IFERROR(
  INDEX(tbl_ploegen,SMALL(Ploegen!$AG$3:$AG$27,ROW(INDIRECT("A"&amp;(ROW()-9)/14+1)))-2,1),
  ""
)</f>
        <v/>
      </c>
      <c r="B65" s="56"/>
      <c r="C65" s="3" t="str">
        <f ca="1">IF(F65="","","A")</f>
        <v>A</v>
      </c>
      <c r="D65" s="40" t="s">
        <v>71</v>
      </c>
      <c r="E65" s="40"/>
      <c r="F65" s="3">
        <f ca="1">SUMIF(tbl_ploegen,A65,Uitslagen_A)</f>
        <v>0</v>
      </c>
      <c r="G65" s="197" t="s">
        <v>70</v>
      </c>
      <c r="H65" s="6">
        <f t="shared" ref="H65:H70" ca="1" si="12">IF(F65="","",IF(ISNA(VLOOKUP(F65,tbl_prijzen,13,FALSE)),0,VLOOKUP(F65,tbl_prijzen,13,FALSE)))</f>
        <v>0</v>
      </c>
      <c r="I65" s="2"/>
      <c r="J65" s="1"/>
    </row>
    <row r="66" spans="1:10" customFormat="1" ht="16.5" x14ac:dyDescent="0.3">
      <c r="A66" s="2"/>
      <c r="B66" s="2"/>
      <c r="C66" s="3" t="str">
        <f ca="1">IF(F66="","","B")</f>
        <v/>
      </c>
      <c r="D66" s="40" t="str">
        <f t="shared" ref="D66:D68" ca="1" si="13">IF(F66="","","ploeg")</f>
        <v/>
      </c>
      <c r="E66" s="40"/>
      <c r="F66" s="3" t="str">
        <f ca="1">IF(SUMIF(tbl_ploegen,A65,Uitslagen_B)&gt;0,SUMIF(tbl_ploegen,A65,Uitslagen_B),"")</f>
        <v/>
      </c>
      <c r="G66" s="8" t="str">
        <f t="shared" ref="G66:G68" ca="1" si="14">IF(F66="","","/30")</f>
        <v/>
      </c>
      <c r="H66" s="6" t="str">
        <f t="shared" ca="1" si="12"/>
        <v/>
      </c>
      <c r="I66" s="5"/>
      <c r="J66" s="1"/>
    </row>
    <row r="67" spans="1:10" customFormat="1" ht="15.75" x14ac:dyDescent="0.25">
      <c r="A67" s="2"/>
      <c r="B67" s="2"/>
      <c r="C67" s="3" t="str">
        <f ca="1">IF(F67="","","C")</f>
        <v/>
      </c>
      <c r="D67" s="40" t="str">
        <f t="shared" ca="1" si="13"/>
        <v/>
      </c>
      <c r="E67" s="40"/>
      <c r="F67" s="3" t="str">
        <f ca="1">IF(SUMIF(tbl_ploegen,A65,Uitslagen_C)&gt;0,SUMIF(tbl_ploegen,A65,Uitslagen_C),"")</f>
        <v/>
      </c>
      <c r="G67" s="8" t="str">
        <f t="shared" ca="1" si="14"/>
        <v/>
      </c>
      <c r="H67" s="6" t="str">
        <f t="shared" ca="1" si="12"/>
        <v/>
      </c>
      <c r="I67" s="5"/>
      <c r="J67" s="196"/>
    </row>
    <row r="68" spans="1:10" customFormat="1" ht="16.5" x14ac:dyDescent="0.3">
      <c r="A68" s="2"/>
      <c r="B68" s="2"/>
      <c r="C68" s="3" t="str">
        <f ca="1">IF(F68="","","D")</f>
        <v/>
      </c>
      <c r="D68" s="40" t="str">
        <f t="shared" ca="1" si="13"/>
        <v/>
      </c>
      <c r="E68" s="40"/>
      <c r="F68" s="3" t="str">
        <f ca="1">IF(SUMIF(tbl_ploegen,A65,Uitslagen_D)&gt;0,SUMIF(tbl_ploegen,A65,Uitslagen_D),"")</f>
        <v/>
      </c>
      <c r="G68" s="8" t="str">
        <f t="shared" ca="1" si="14"/>
        <v/>
      </c>
      <c r="H68" s="6" t="str">
        <f t="shared" ca="1" si="12"/>
        <v/>
      </c>
      <c r="I68" s="7" t="s">
        <v>72</v>
      </c>
      <c r="J68" s="1"/>
    </row>
    <row r="69" spans="1:10" customFormat="1" ht="16.5" x14ac:dyDescent="0.3">
      <c r="A69" s="2"/>
      <c r="B69" s="2"/>
      <c r="C69" s="3" t="str">
        <f ca="1">IF(F69="","","E")</f>
        <v/>
      </c>
      <c r="D69" s="329" t="str">
        <f ca="1">IF(F69="","","ploeg")</f>
        <v/>
      </c>
      <c r="E69" s="329"/>
      <c r="F69" s="3" t="str">
        <f ca="1">IF(SUMIF(tbl_ploegen,A65,Uitslagen_E)&gt;0,SUMIF(tbl_ploegen,A65,Uitslagen_E),"")</f>
        <v/>
      </c>
      <c r="G69" s="8" t="str">
        <f ca="1">IF(F69="","","/30")</f>
        <v/>
      </c>
      <c r="H69" s="6" t="str">
        <f t="shared" ca="1" si="12"/>
        <v/>
      </c>
      <c r="I69" s="9">
        <f ca="1">SUM(H65:H70)</f>
        <v>0</v>
      </c>
      <c r="J69" s="1"/>
    </row>
    <row r="70" spans="1:10" customFormat="1" ht="16.5" x14ac:dyDescent="0.3">
      <c r="A70" s="2"/>
      <c r="B70" s="2"/>
      <c r="C70" s="3" t="str">
        <f ca="1">IF(F70="","","F")</f>
        <v>F</v>
      </c>
      <c r="D70" s="329" t="str">
        <f ca="1">IF(F70="","","ploeg")</f>
        <v>ploeg</v>
      </c>
      <c r="E70" s="329"/>
      <c r="F70" s="3">
        <f ca="1">IF(SUMIF(tbl_ploegen,A65,Uitslagen_F)&gt;0,SUMIF(tbl_ploegen,A65,Uitslagen_F),"")</f>
        <v>46174</v>
      </c>
      <c r="G70" s="8" t="str">
        <f ca="1">IF(F70="","","/30")</f>
        <v>/30</v>
      </c>
      <c r="H70" s="6">
        <f t="shared" ca="1" si="12"/>
        <v>0</v>
      </c>
      <c r="I70" s="196"/>
      <c r="J70" s="1"/>
    </row>
    <row r="71" spans="1:10" customFormat="1" ht="16.5" x14ac:dyDescent="0.3">
      <c r="A71" s="1"/>
      <c r="B71" s="1"/>
      <c r="C71" s="1"/>
      <c r="D71" s="41"/>
      <c r="E71" s="41"/>
      <c r="F71" s="41"/>
      <c r="G71" s="41"/>
      <c r="H71" s="55" t="str">
        <f>Ploegen!$C$1</f>
        <v>VRIENDENSCHIETING - LAREN</v>
      </c>
      <c r="I71" s="25">
        <f>Ploegen!$H$1</f>
        <v>46172</v>
      </c>
      <c r="J71" s="1"/>
    </row>
    <row r="72" spans="1:10" customFormat="1" ht="15.75" x14ac:dyDescent="0.25">
      <c r="A72" s="196"/>
      <c r="B72" s="196"/>
      <c r="C72" s="196"/>
      <c r="D72" s="196"/>
      <c r="E72" s="196"/>
      <c r="F72" s="196"/>
      <c r="G72" s="196"/>
      <c r="H72" s="55"/>
      <c r="I72" s="25"/>
      <c r="J72" s="40"/>
    </row>
    <row r="73" spans="1:10" customFormat="1" ht="16.5" x14ac:dyDescent="0.3">
      <c r="A73" s="2">
        <f>aantal_ploegen</f>
        <v>0</v>
      </c>
      <c r="B73" s="2" t="s">
        <v>69</v>
      </c>
      <c r="C73" s="3">
        <f>Aantal_30</f>
        <v>0</v>
      </c>
      <c r="D73" s="3">
        <v>30</v>
      </c>
      <c r="E73" s="197" t="s">
        <v>70</v>
      </c>
      <c r="F73" s="4">
        <f>Bedrag_per_ploeg_30</f>
        <v>0</v>
      </c>
      <c r="G73" s="196"/>
      <c r="H73" s="59"/>
      <c r="I73" s="1"/>
      <c r="J73" s="1"/>
    </row>
    <row r="74" spans="1:10" customFormat="1" ht="16.5" x14ac:dyDescent="0.3">
      <c r="A74" s="2"/>
      <c r="B74" s="2"/>
      <c r="C74" s="3">
        <f>Aantal_29</f>
        <v>0</v>
      </c>
      <c r="D74" s="3">
        <v>29</v>
      </c>
      <c r="E74" s="197" t="s">
        <v>70</v>
      </c>
      <c r="F74" s="4">
        <f>Bedrag_per_ploeg_29</f>
        <v>0</v>
      </c>
      <c r="G74" s="196"/>
      <c r="H74" s="59"/>
      <c r="I74" s="1"/>
      <c r="J74" s="1"/>
    </row>
    <row r="75" spans="1:10" customFormat="1" ht="16.5" x14ac:dyDescent="0.3">
      <c r="A75" s="2"/>
      <c r="B75" s="2"/>
      <c r="C75" s="3">
        <f>Aantal_28</f>
        <v>0</v>
      </c>
      <c r="D75" s="3">
        <v>28</v>
      </c>
      <c r="E75" s="197" t="s">
        <v>70</v>
      </c>
      <c r="F75" s="4">
        <f>Bedrag_per_ploeg_28</f>
        <v>0</v>
      </c>
      <c r="G75" s="4"/>
      <c r="H75" s="5"/>
      <c r="I75" s="1"/>
      <c r="J75" s="1"/>
    </row>
    <row r="76" spans="1:10" customFormat="1" ht="16.5" x14ac:dyDescent="0.3">
      <c r="A76" s="2"/>
      <c r="B76" s="2"/>
      <c r="C76" s="3" t="str">
        <f>IF(Bedrag_per_ploeg_27&gt;0,Aantal_27,"")</f>
        <v/>
      </c>
      <c r="D76" s="3" t="str">
        <f>IF(Bedrag_per_ploeg_27&gt;0,27,"")</f>
        <v/>
      </c>
      <c r="E76" s="197" t="str">
        <f>IF(Bedrag_per_ploeg_27&gt;0,"/30","")</f>
        <v/>
      </c>
      <c r="F76" s="4" t="str">
        <f>IF(Bedrag_per_ploeg_27&gt;0,Bedrag_per_ploeg_27,"")</f>
        <v/>
      </c>
      <c r="G76" s="4"/>
      <c r="H76" s="5"/>
      <c r="I76" s="2"/>
      <c r="J76" s="1"/>
    </row>
    <row r="77" spans="1:10" customFormat="1" ht="16.5" x14ac:dyDescent="0.3">
      <c r="A77" s="196"/>
      <c r="B77" s="196"/>
      <c r="C77" s="3" t="str">
        <f>IF(Bedrag_per_ploeg_26&gt;0,Aantal_26,"")</f>
        <v/>
      </c>
      <c r="D77" s="3" t="str">
        <f>IF(Bedrag_per_ploeg_26&gt;0,26,"")</f>
        <v/>
      </c>
      <c r="E77" s="197" t="str">
        <f>IF(Bedrag_per_ploeg_26&gt;0,"/30","")</f>
        <v/>
      </c>
      <c r="F77" s="4" t="str">
        <f>IF(Bedrag_per_ploeg_26&gt;0,Bedrag_per_ploeg_26,"")</f>
        <v/>
      </c>
      <c r="G77" s="4"/>
      <c r="H77" s="2"/>
      <c r="I77" s="2"/>
      <c r="J77" s="1"/>
    </row>
    <row r="78" spans="1:10" customFormat="1" ht="16.5" x14ac:dyDescent="0.3">
      <c r="A78" s="196"/>
      <c r="B78" s="196"/>
      <c r="C78" s="3" t="str">
        <f>IF(Bedrag_per_ploeg_25&gt;0,Aantal_25,"")</f>
        <v/>
      </c>
      <c r="D78" s="3" t="str">
        <f>IF(Bedrag_per_ploeg_25&gt;0,25,"")</f>
        <v/>
      </c>
      <c r="E78" s="197" t="str">
        <f>IF(Bedrag_per_ploeg_25&gt;0,"/30","")</f>
        <v/>
      </c>
      <c r="F78" s="4" t="str">
        <f>IF(Bedrag_per_ploeg_25&gt;0,Bedrag_per_ploeg_25,"")</f>
        <v/>
      </c>
      <c r="G78" s="4"/>
      <c r="H78" s="5"/>
      <c r="I78" s="2"/>
      <c r="J78" s="1"/>
    </row>
    <row r="79" spans="1:10" customFormat="1" ht="16.5" x14ac:dyDescent="0.3">
      <c r="A79" s="56" t="str" cm="1">
        <f t="array" aca="1" ref="A79" ca="1">IFERROR(
  INDEX(tbl_ploegen,SMALL(Ploegen!$AG$3:$AG$27,ROW(INDIRECT("A"&amp;(ROW()-9)/14+1)))-2,1),
  ""
)</f>
        <v/>
      </c>
      <c r="B79" s="56"/>
      <c r="C79" s="3" t="str">
        <f ca="1">IF(F79="","","A")</f>
        <v>A</v>
      </c>
      <c r="D79" s="40" t="s">
        <v>71</v>
      </c>
      <c r="E79" s="40"/>
      <c r="F79" s="3">
        <f ca="1">SUMIF(tbl_ploegen,A79,Uitslagen_A)</f>
        <v>0</v>
      </c>
      <c r="G79" s="197" t="s">
        <v>70</v>
      </c>
      <c r="H79" s="6">
        <f t="shared" ref="H79:H84" ca="1" si="15">IF(F79="","",IF(ISNA(VLOOKUP(F79,tbl_prijzen,13,FALSE)),0,VLOOKUP(F79,tbl_prijzen,13,FALSE)))</f>
        <v>0</v>
      </c>
      <c r="I79" s="2"/>
      <c r="J79" s="1"/>
    </row>
    <row r="80" spans="1:10" customFormat="1" ht="16.5" x14ac:dyDescent="0.3">
      <c r="A80" s="2"/>
      <c r="B80" s="2"/>
      <c r="C80" s="3" t="str">
        <f ca="1">IF(F80="","","B")</f>
        <v/>
      </c>
      <c r="D80" s="40" t="str">
        <f t="shared" ref="D80:D82" ca="1" si="16">IF(F80="","","ploeg")</f>
        <v/>
      </c>
      <c r="E80" s="40"/>
      <c r="F80" s="3" t="str">
        <f ca="1">IF(SUMIF(tbl_ploegen,A79,Uitslagen_B)&gt;0,SUMIF(tbl_ploegen,A79,Uitslagen_B),"")</f>
        <v/>
      </c>
      <c r="G80" s="8" t="str">
        <f t="shared" ref="G80:G82" ca="1" si="17">IF(F80="","","/30")</f>
        <v/>
      </c>
      <c r="H80" s="6" t="str">
        <f t="shared" ca="1" si="15"/>
        <v/>
      </c>
      <c r="I80" s="5"/>
      <c r="J80" s="1"/>
    </row>
    <row r="81" spans="1:10" customFormat="1" ht="15.75" x14ac:dyDescent="0.25">
      <c r="A81" s="2"/>
      <c r="B81" s="2"/>
      <c r="C81" s="3" t="str">
        <f ca="1">IF(F81="","","C")</f>
        <v/>
      </c>
      <c r="D81" s="40" t="str">
        <f t="shared" ca="1" si="16"/>
        <v/>
      </c>
      <c r="E81" s="40"/>
      <c r="F81" s="3" t="str">
        <f ca="1">IF(SUMIF(tbl_ploegen,A79,Uitslagen_C)&gt;0,SUMIF(tbl_ploegen,A79,Uitslagen_C),"")</f>
        <v/>
      </c>
      <c r="G81" s="8" t="str">
        <f t="shared" ca="1" si="17"/>
        <v/>
      </c>
      <c r="H81" s="6" t="str">
        <f t="shared" ca="1" si="15"/>
        <v/>
      </c>
      <c r="I81" s="5"/>
      <c r="J81" s="196"/>
    </row>
    <row r="82" spans="1:10" customFormat="1" ht="16.5" x14ac:dyDescent="0.3">
      <c r="A82" s="2"/>
      <c r="B82" s="2"/>
      <c r="C82" s="3" t="str">
        <f ca="1">IF(F82="","","D")</f>
        <v/>
      </c>
      <c r="D82" s="40" t="str">
        <f t="shared" ca="1" si="16"/>
        <v/>
      </c>
      <c r="E82" s="40"/>
      <c r="F82" s="3" t="str">
        <f ca="1">IF(SUMIF(tbl_ploegen,A79,Uitslagen_D)&gt;0,SUMIF(tbl_ploegen,A79,Uitslagen_D),"")</f>
        <v/>
      </c>
      <c r="G82" s="8" t="str">
        <f t="shared" ca="1" si="17"/>
        <v/>
      </c>
      <c r="H82" s="6" t="str">
        <f t="shared" ca="1" si="15"/>
        <v/>
      </c>
      <c r="I82" s="7" t="s">
        <v>72</v>
      </c>
      <c r="J82" s="1"/>
    </row>
    <row r="83" spans="1:10" customFormat="1" ht="16.5" x14ac:dyDescent="0.3">
      <c r="A83" s="2"/>
      <c r="B83" s="2"/>
      <c r="C83" s="3" t="str">
        <f ca="1">IF(F83="","","E")</f>
        <v/>
      </c>
      <c r="D83" s="329" t="str">
        <f ca="1">IF(F83="","","ploeg")</f>
        <v/>
      </c>
      <c r="E83" s="329"/>
      <c r="F83" s="3" t="str">
        <f ca="1">IF(SUMIF(tbl_ploegen,A79,Uitslagen_E)&gt;0,SUMIF(tbl_ploegen,A79,Uitslagen_E),"")</f>
        <v/>
      </c>
      <c r="G83" s="8" t="str">
        <f ca="1">IF(F83="","","/30")</f>
        <v/>
      </c>
      <c r="H83" s="6" t="str">
        <f t="shared" ca="1" si="15"/>
        <v/>
      </c>
      <c r="I83" s="9">
        <f ca="1">SUM(H79:H84)</f>
        <v>0</v>
      </c>
      <c r="J83" s="1"/>
    </row>
    <row r="84" spans="1:10" customFormat="1" ht="16.5" x14ac:dyDescent="0.3">
      <c r="A84" s="2"/>
      <c r="B84" s="2"/>
      <c r="C84" s="3" t="str">
        <f ca="1">IF(F84="","","F")</f>
        <v>F</v>
      </c>
      <c r="D84" s="329" t="str">
        <f ca="1">IF(F84="","","ploeg")</f>
        <v>ploeg</v>
      </c>
      <c r="E84" s="329"/>
      <c r="F84" s="3">
        <f ca="1">IF(SUMIF(tbl_ploegen,A79,Uitslagen_F)&gt;0,SUMIF(tbl_ploegen,A79,Uitslagen_F),"")</f>
        <v>46174</v>
      </c>
      <c r="G84" s="8" t="str">
        <f ca="1">IF(F84="","","/30")</f>
        <v>/30</v>
      </c>
      <c r="H84" s="6">
        <f t="shared" ca="1" si="15"/>
        <v>0</v>
      </c>
      <c r="I84" s="196"/>
      <c r="J84" s="1"/>
    </row>
    <row r="85" spans="1:10" customFormat="1" ht="16.5" x14ac:dyDescent="0.3">
      <c r="A85" s="1"/>
      <c r="B85" s="1"/>
      <c r="C85" s="1"/>
      <c r="D85" s="41"/>
      <c r="E85" s="41"/>
      <c r="F85" s="41"/>
      <c r="G85" s="41"/>
      <c r="H85" s="55" t="str">
        <f>Ploegen!$C$1</f>
        <v>VRIENDENSCHIETING - LAREN</v>
      </c>
      <c r="I85" s="25">
        <f>Ploegen!$H$1</f>
        <v>46172</v>
      </c>
      <c r="J85" s="1"/>
    </row>
    <row r="86" spans="1:10" customFormat="1" ht="15.75" x14ac:dyDescent="0.25">
      <c r="A86" s="196"/>
      <c r="B86" s="196"/>
      <c r="C86" s="196"/>
      <c r="D86" s="196"/>
      <c r="E86" s="196"/>
      <c r="F86" s="196"/>
      <c r="G86" s="196"/>
      <c r="H86" s="55"/>
      <c r="I86" s="25"/>
      <c r="J86" s="40"/>
    </row>
    <row r="87" spans="1:10" customFormat="1" ht="16.5" x14ac:dyDescent="0.3">
      <c r="A87" s="2">
        <f>aantal_ploegen</f>
        <v>0</v>
      </c>
      <c r="B87" s="2" t="s">
        <v>69</v>
      </c>
      <c r="C87" s="3">
        <f>Aantal_30</f>
        <v>0</v>
      </c>
      <c r="D87" s="3">
        <v>30</v>
      </c>
      <c r="E87" s="197" t="s">
        <v>70</v>
      </c>
      <c r="F87" s="4">
        <f>Bedrag_per_ploeg_30</f>
        <v>0</v>
      </c>
      <c r="G87" s="196"/>
      <c r="H87" s="59"/>
      <c r="I87" s="1"/>
      <c r="J87" s="1"/>
    </row>
    <row r="88" spans="1:10" customFormat="1" ht="16.5" x14ac:dyDescent="0.3">
      <c r="A88" s="2"/>
      <c r="B88" s="2"/>
      <c r="C88" s="3">
        <f>Aantal_29</f>
        <v>0</v>
      </c>
      <c r="D88" s="3">
        <v>29</v>
      </c>
      <c r="E88" s="197" t="s">
        <v>70</v>
      </c>
      <c r="F88" s="4">
        <f>Bedrag_per_ploeg_29</f>
        <v>0</v>
      </c>
      <c r="G88" s="196"/>
      <c r="H88" s="59"/>
      <c r="I88" s="1"/>
      <c r="J88" s="1"/>
    </row>
    <row r="89" spans="1:10" customFormat="1" ht="16.5" x14ac:dyDescent="0.3">
      <c r="A89" s="2"/>
      <c r="B89" s="2"/>
      <c r="C89" s="3">
        <f>Aantal_28</f>
        <v>0</v>
      </c>
      <c r="D89" s="3">
        <v>28</v>
      </c>
      <c r="E89" s="197" t="s">
        <v>70</v>
      </c>
      <c r="F89" s="4">
        <f>Bedrag_per_ploeg_28</f>
        <v>0</v>
      </c>
      <c r="G89" s="4"/>
      <c r="H89" s="5"/>
      <c r="I89" s="1"/>
      <c r="J89" s="1"/>
    </row>
    <row r="90" spans="1:10" customFormat="1" ht="16.5" x14ac:dyDescent="0.3">
      <c r="A90" s="2"/>
      <c r="B90" s="2"/>
      <c r="C90" s="3" t="str">
        <f>IF(Bedrag_per_ploeg_27&gt;0,Aantal_27,"")</f>
        <v/>
      </c>
      <c r="D90" s="3" t="str">
        <f>IF(Bedrag_per_ploeg_27&gt;0,27,"")</f>
        <v/>
      </c>
      <c r="E90" s="197" t="str">
        <f>IF(Bedrag_per_ploeg_27&gt;0,"/30","")</f>
        <v/>
      </c>
      <c r="F90" s="4" t="str">
        <f>IF(Bedrag_per_ploeg_27&gt;0,Bedrag_per_ploeg_27,"")</f>
        <v/>
      </c>
      <c r="G90" s="4"/>
      <c r="H90" s="5"/>
      <c r="I90" s="2"/>
      <c r="J90" s="1"/>
    </row>
    <row r="91" spans="1:10" customFormat="1" ht="16.5" x14ac:dyDescent="0.3">
      <c r="A91" s="196"/>
      <c r="B91" s="196"/>
      <c r="C91" s="3" t="str">
        <f>IF(Bedrag_per_ploeg_26&gt;0,Aantal_26,"")</f>
        <v/>
      </c>
      <c r="D91" s="3" t="str">
        <f>IF(Bedrag_per_ploeg_26&gt;0,26,"")</f>
        <v/>
      </c>
      <c r="E91" s="197" t="str">
        <f>IF(Bedrag_per_ploeg_26&gt;0,"/30","")</f>
        <v/>
      </c>
      <c r="F91" s="4" t="str">
        <f>IF(Bedrag_per_ploeg_26&gt;0,Bedrag_per_ploeg_26,"")</f>
        <v/>
      </c>
      <c r="G91" s="4"/>
      <c r="H91" s="2"/>
      <c r="I91" s="2"/>
      <c r="J91" s="1"/>
    </row>
    <row r="92" spans="1:10" customFormat="1" ht="16.5" x14ac:dyDescent="0.3">
      <c r="A92" s="196"/>
      <c r="B92" s="196"/>
      <c r="C92" s="3" t="str">
        <f>IF(Bedrag_per_ploeg_25&gt;0,Aantal_25,"")</f>
        <v/>
      </c>
      <c r="D92" s="3" t="str">
        <f>IF(Bedrag_per_ploeg_25&gt;0,25,"")</f>
        <v/>
      </c>
      <c r="E92" s="197" t="str">
        <f>IF(Bedrag_per_ploeg_25&gt;0,"/30","")</f>
        <v/>
      </c>
      <c r="F92" s="4" t="str">
        <f>IF(Bedrag_per_ploeg_25&gt;0,Bedrag_per_ploeg_25,"")</f>
        <v/>
      </c>
      <c r="G92" s="4"/>
      <c r="H92" s="5"/>
      <c r="I92" s="2"/>
      <c r="J92" s="1"/>
    </row>
    <row r="93" spans="1:10" customFormat="1" ht="16.5" x14ac:dyDescent="0.3">
      <c r="A93" s="56" t="str" cm="1">
        <f t="array" aca="1" ref="A93" ca="1">IFERROR(
  INDEX(tbl_ploegen,SMALL(Ploegen!$AG$3:$AG$27,ROW(INDIRECT("A"&amp;(ROW()-9)/14+1)))-2,1),
  ""
)</f>
        <v/>
      </c>
      <c r="B93" s="56"/>
      <c r="C93" s="3" t="str">
        <f ca="1">IF(F93="","","A")</f>
        <v>A</v>
      </c>
      <c r="D93" s="40" t="s">
        <v>71</v>
      </c>
      <c r="E93" s="40"/>
      <c r="F93" s="3">
        <f ca="1">SUMIF(tbl_ploegen,A93,Uitslagen_A)</f>
        <v>0</v>
      </c>
      <c r="G93" s="197" t="s">
        <v>70</v>
      </c>
      <c r="H93" s="6">
        <f t="shared" ref="H93:H98" ca="1" si="18">IF(F93="","",IF(ISNA(VLOOKUP(F93,tbl_prijzen,13,FALSE)),0,VLOOKUP(F93,tbl_prijzen,13,FALSE)))</f>
        <v>0</v>
      </c>
      <c r="I93" s="2"/>
      <c r="J93" s="1"/>
    </row>
    <row r="94" spans="1:10" customFormat="1" ht="16.5" x14ac:dyDescent="0.3">
      <c r="A94" s="2"/>
      <c r="B94" s="2"/>
      <c r="C94" s="3" t="str">
        <f ca="1">IF(F94="","","B")</f>
        <v/>
      </c>
      <c r="D94" s="40" t="str">
        <f t="shared" ref="D94:D96" ca="1" si="19">IF(F94="","","ploeg")</f>
        <v/>
      </c>
      <c r="E94" s="40"/>
      <c r="F94" s="3" t="str">
        <f ca="1">IF(SUMIF(tbl_ploegen,A93,Uitslagen_B)&gt;0,SUMIF(tbl_ploegen,A93,Uitslagen_B),"")</f>
        <v/>
      </c>
      <c r="G94" s="8" t="str">
        <f t="shared" ref="G94:G96" ca="1" si="20">IF(F94="","","/30")</f>
        <v/>
      </c>
      <c r="H94" s="6" t="str">
        <f t="shared" ca="1" si="18"/>
        <v/>
      </c>
      <c r="I94" s="5"/>
      <c r="J94" s="1"/>
    </row>
    <row r="95" spans="1:10" customFormat="1" ht="15.75" x14ac:dyDescent="0.25">
      <c r="A95" s="2"/>
      <c r="B95" s="2"/>
      <c r="C95" s="3" t="str">
        <f ca="1">IF(F95="","","C")</f>
        <v/>
      </c>
      <c r="D95" s="40" t="str">
        <f t="shared" ca="1" si="19"/>
        <v/>
      </c>
      <c r="E95" s="40"/>
      <c r="F95" s="3" t="str">
        <f ca="1">IF(SUMIF(tbl_ploegen,A93,Uitslagen_C)&gt;0,SUMIF(tbl_ploegen,A93,Uitslagen_C),"")</f>
        <v/>
      </c>
      <c r="G95" s="8" t="str">
        <f t="shared" ca="1" si="20"/>
        <v/>
      </c>
      <c r="H95" s="6" t="str">
        <f t="shared" ca="1" si="18"/>
        <v/>
      </c>
      <c r="I95" s="5"/>
      <c r="J95" s="196"/>
    </row>
    <row r="96" spans="1:10" customFormat="1" ht="16.5" x14ac:dyDescent="0.3">
      <c r="A96" s="2"/>
      <c r="B96" s="2"/>
      <c r="C96" s="3" t="str">
        <f ca="1">IF(F96="","","D")</f>
        <v/>
      </c>
      <c r="D96" s="40" t="str">
        <f t="shared" ca="1" si="19"/>
        <v/>
      </c>
      <c r="E96" s="40"/>
      <c r="F96" s="3" t="str">
        <f ca="1">IF(SUMIF(tbl_ploegen,A93,Uitslagen_D)&gt;0,SUMIF(tbl_ploegen,A93,Uitslagen_D),"")</f>
        <v/>
      </c>
      <c r="G96" s="8" t="str">
        <f t="shared" ca="1" si="20"/>
        <v/>
      </c>
      <c r="H96" s="6" t="str">
        <f t="shared" ca="1" si="18"/>
        <v/>
      </c>
      <c r="I96" s="7" t="s">
        <v>72</v>
      </c>
      <c r="J96" s="1"/>
    </row>
    <row r="97" spans="1:10" customFormat="1" ht="16.5" x14ac:dyDescent="0.3">
      <c r="A97" s="2"/>
      <c r="B97" s="2"/>
      <c r="C97" s="3" t="str">
        <f ca="1">IF(F97="","","E")</f>
        <v/>
      </c>
      <c r="D97" s="329" t="str">
        <f ca="1">IF(F97="","","ploeg")</f>
        <v/>
      </c>
      <c r="E97" s="329"/>
      <c r="F97" s="3" t="str">
        <f ca="1">IF(SUMIF(tbl_ploegen,A93,Uitslagen_E)&gt;0,SUMIF(tbl_ploegen,A93,Uitslagen_E),"")</f>
        <v/>
      </c>
      <c r="G97" s="8" t="str">
        <f ca="1">IF(F97="","","/30")</f>
        <v/>
      </c>
      <c r="H97" s="6" t="str">
        <f t="shared" ca="1" si="18"/>
        <v/>
      </c>
      <c r="I97" s="9">
        <f ca="1">SUM(H93:H98)</f>
        <v>0</v>
      </c>
      <c r="J97" s="1"/>
    </row>
    <row r="98" spans="1:10" customFormat="1" ht="16.5" x14ac:dyDescent="0.3">
      <c r="A98" s="2"/>
      <c r="B98" s="2"/>
      <c r="C98" s="3" t="str">
        <f ca="1">IF(F98="","","F")</f>
        <v>F</v>
      </c>
      <c r="D98" s="329" t="str">
        <f ca="1">IF(F98="","","ploeg")</f>
        <v>ploeg</v>
      </c>
      <c r="E98" s="329"/>
      <c r="F98" s="3">
        <f ca="1">IF(SUMIF(tbl_ploegen,A93,Uitslagen_F)&gt;0,SUMIF(tbl_ploegen,A93,Uitslagen_F),"")</f>
        <v>46174</v>
      </c>
      <c r="G98" s="8" t="str">
        <f ca="1">IF(F98="","","/30")</f>
        <v>/30</v>
      </c>
      <c r="H98" s="6">
        <f t="shared" ca="1" si="18"/>
        <v>0</v>
      </c>
      <c r="I98" s="196"/>
      <c r="J98" s="1"/>
    </row>
    <row r="99" spans="1:10" customFormat="1" ht="16.5" x14ac:dyDescent="0.3">
      <c r="A99" s="1"/>
      <c r="B99" s="1"/>
      <c r="C99" s="1"/>
      <c r="D99" s="41"/>
      <c r="E99" s="41"/>
      <c r="F99" s="41"/>
      <c r="G99" s="41"/>
      <c r="H99" s="55" t="str">
        <f>Ploegen!$C$1</f>
        <v>VRIENDENSCHIETING - LAREN</v>
      </c>
      <c r="I99" s="25">
        <f>Ploegen!$H$1</f>
        <v>46172</v>
      </c>
      <c r="J99" s="1"/>
    </row>
    <row r="100" spans="1:10" customFormat="1" ht="15.75" x14ac:dyDescent="0.25">
      <c r="A100" s="196"/>
      <c r="B100" s="196"/>
      <c r="C100" s="196"/>
      <c r="D100" s="196"/>
      <c r="E100" s="196"/>
      <c r="F100" s="196"/>
      <c r="G100" s="196"/>
      <c r="H100" s="55"/>
      <c r="I100" s="25"/>
      <c r="J100" s="40"/>
    </row>
    <row r="101" spans="1:10" customFormat="1" ht="16.5" x14ac:dyDescent="0.3">
      <c r="A101" s="2">
        <f>aantal_ploegen</f>
        <v>0</v>
      </c>
      <c r="B101" s="2" t="s">
        <v>69</v>
      </c>
      <c r="C101" s="3">
        <f>Aantal_30</f>
        <v>0</v>
      </c>
      <c r="D101" s="3">
        <v>30</v>
      </c>
      <c r="E101" s="197" t="s">
        <v>70</v>
      </c>
      <c r="F101" s="4">
        <f>Bedrag_per_ploeg_30</f>
        <v>0</v>
      </c>
      <c r="G101" s="196"/>
      <c r="H101" s="59"/>
      <c r="I101" s="1"/>
      <c r="J101" s="1"/>
    </row>
    <row r="102" spans="1:10" customFormat="1" ht="16.5" x14ac:dyDescent="0.3">
      <c r="A102" s="2"/>
      <c r="B102" s="2"/>
      <c r="C102" s="3">
        <f>Aantal_29</f>
        <v>0</v>
      </c>
      <c r="D102" s="3">
        <v>29</v>
      </c>
      <c r="E102" s="197" t="s">
        <v>70</v>
      </c>
      <c r="F102" s="4">
        <f>Bedrag_per_ploeg_29</f>
        <v>0</v>
      </c>
      <c r="G102" s="196"/>
      <c r="H102" s="59"/>
      <c r="I102" s="1"/>
      <c r="J102" s="1"/>
    </row>
    <row r="103" spans="1:10" customFormat="1" ht="16.5" x14ac:dyDescent="0.3">
      <c r="A103" s="2"/>
      <c r="B103" s="2"/>
      <c r="C103" s="3">
        <f>Aantal_28</f>
        <v>0</v>
      </c>
      <c r="D103" s="3">
        <v>28</v>
      </c>
      <c r="E103" s="197" t="s">
        <v>70</v>
      </c>
      <c r="F103" s="4">
        <f>Bedrag_per_ploeg_28</f>
        <v>0</v>
      </c>
      <c r="G103" s="4"/>
      <c r="H103" s="5"/>
      <c r="I103" s="1"/>
      <c r="J103" s="1"/>
    </row>
    <row r="104" spans="1:10" customFormat="1" ht="16.5" x14ac:dyDescent="0.3">
      <c r="A104" s="2"/>
      <c r="B104" s="2"/>
      <c r="C104" s="3" t="str">
        <f>IF(Bedrag_per_ploeg_27&gt;0,Aantal_27,"")</f>
        <v/>
      </c>
      <c r="D104" s="3" t="str">
        <f>IF(Bedrag_per_ploeg_27&gt;0,27,"")</f>
        <v/>
      </c>
      <c r="E104" s="197" t="str">
        <f>IF(Bedrag_per_ploeg_27&gt;0,"/30","")</f>
        <v/>
      </c>
      <c r="F104" s="4" t="str">
        <f>IF(Bedrag_per_ploeg_27&gt;0,Bedrag_per_ploeg_27,"")</f>
        <v/>
      </c>
      <c r="G104" s="4"/>
      <c r="H104" s="5"/>
      <c r="I104" s="2"/>
      <c r="J104" s="1"/>
    </row>
    <row r="105" spans="1:10" customFormat="1" ht="16.5" x14ac:dyDescent="0.3">
      <c r="A105" s="196"/>
      <c r="B105" s="196"/>
      <c r="C105" s="3" t="str">
        <f>IF(Bedrag_per_ploeg_26&gt;0,Aantal_26,"")</f>
        <v/>
      </c>
      <c r="D105" s="3" t="str">
        <f>IF(Bedrag_per_ploeg_26&gt;0,26,"")</f>
        <v/>
      </c>
      <c r="E105" s="197" t="str">
        <f>IF(Bedrag_per_ploeg_26&gt;0,"/30","")</f>
        <v/>
      </c>
      <c r="F105" s="4" t="str">
        <f>IF(Bedrag_per_ploeg_26&gt;0,Bedrag_per_ploeg_26,"")</f>
        <v/>
      </c>
      <c r="G105" s="4"/>
      <c r="H105" s="2"/>
      <c r="I105" s="2"/>
      <c r="J105" s="1"/>
    </row>
    <row r="106" spans="1:10" customFormat="1" ht="16.5" x14ac:dyDescent="0.3">
      <c r="A106" s="196"/>
      <c r="B106" s="196"/>
      <c r="C106" s="3" t="str">
        <f>IF(Bedrag_per_ploeg_25&gt;0,Aantal_25,"")</f>
        <v/>
      </c>
      <c r="D106" s="3" t="str">
        <f>IF(Bedrag_per_ploeg_25&gt;0,25,"")</f>
        <v/>
      </c>
      <c r="E106" s="197" t="str">
        <f>IF(Bedrag_per_ploeg_25&gt;0,"/30","")</f>
        <v/>
      </c>
      <c r="F106" s="4" t="str">
        <f>IF(Bedrag_per_ploeg_25&gt;0,Bedrag_per_ploeg_25,"")</f>
        <v/>
      </c>
      <c r="G106" s="4"/>
      <c r="H106" s="5"/>
      <c r="I106" s="2"/>
      <c r="J106" s="1"/>
    </row>
    <row r="107" spans="1:10" customFormat="1" ht="16.5" x14ac:dyDescent="0.3">
      <c r="A107" s="56" t="str" cm="1">
        <f t="array" aca="1" ref="A107" ca="1">IFERROR(
  INDEX(tbl_ploegen,SMALL(Ploegen!$AG$3:$AG$27,ROW(INDIRECT("A"&amp;(ROW()-9)/14+1)))-2,1),
  ""
)</f>
        <v/>
      </c>
      <c r="B107" s="56"/>
      <c r="C107" s="3" t="str">
        <f ca="1">IF(F107="","","A")</f>
        <v>A</v>
      </c>
      <c r="D107" s="40" t="s">
        <v>71</v>
      </c>
      <c r="E107" s="40"/>
      <c r="F107" s="3">
        <f ca="1">SUMIF(tbl_ploegen,A107,Uitslagen_A)</f>
        <v>0</v>
      </c>
      <c r="G107" s="197" t="s">
        <v>70</v>
      </c>
      <c r="H107" s="6">
        <f t="shared" ref="H107:H112" ca="1" si="21">IF(F107="","",IF(ISNA(VLOOKUP(F107,tbl_prijzen,13,FALSE)),0,VLOOKUP(F107,tbl_prijzen,13,FALSE)))</f>
        <v>0</v>
      </c>
      <c r="I107" s="2"/>
      <c r="J107" s="1"/>
    </row>
    <row r="108" spans="1:10" customFormat="1" ht="16.5" x14ac:dyDescent="0.3">
      <c r="A108" s="2"/>
      <c r="B108" s="2"/>
      <c r="C108" s="3" t="str">
        <f ca="1">IF(F108="","","B")</f>
        <v/>
      </c>
      <c r="D108" s="40" t="str">
        <f t="shared" ref="D108:D110" ca="1" si="22">IF(F108="","","ploeg")</f>
        <v/>
      </c>
      <c r="E108" s="40"/>
      <c r="F108" s="3" t="str">
        <f ca="1">IF(SUMIF(tbl_ploegen,A107,Uitslagen_B)&gt;0,SUMIF(tbl_ploegen,A107,Uitslagen_B),"")</f>
        <v/>
      </c>
      <c r="G108" s="8" t="str">
        <f t="shared" ref="G108:G110" ca="1" si="23">IF(F108="","","/30")</f>
        <v/>
      </c>
      <c r="H108" s="6" t="str">
        <f t="shared" ca="1" si="21"/>
        <v/>
      </c>
      <c r="I108" s="5"/>
      <c r="J108" s="1"/>
    </row>
    <row r="109" spans="1:10" customFormat="1" ht="15.75" x14ac:dyDescent="0.25">
      <c r="A109" s="2"/>
      <c r="B109" s="2"/>
      <c r="C109" s="3" t="str">
        <f ca="1">IF(F109="","","C")</f>
        <v/>
      </c>
      <c r="D109" s="40" t="str">
        <f t="shared" ca="1" si="22"/>
        <v/>
      </c>
      <c r="E109" s="40"/>
      <c r="F109" s="3" t="str">
        <f ca="1">IF(SUMIF(tbl_ploegen,A107,Uitslagen_C)&gt;0,SUMIF(tbl_ploegen,A107,Uitslagen_C),"")</f>
        <v/>
      </c>
      <c r="G109" s="8" t="str">
        <f t="shared" ca="1" si="23"/>
        <v/>
      </c>
      <c r="H109" s="6" t="str">
        <f t="shared" ca="1" si="21"/>
        <v/>
      </c>
      <c r="I109" s="5"/>
      <c r="J109" s="196"/>
    </row>
    <row r="110" spans="1:10" customFormat="1" ht="16.5" x14ac:dyDescent="0.3">
      <c r="A110" s="2"/>
      <c r="B110" s="2"/>
      <c r="C110" s="3" t="str">
        <f ca="1">IF(F110="","","D")</f>
        <v/>
      </c>
      <c r="D110" s="40" t="str">
        <f t="shared" ca="1" si="22"/>
        <v/>
      </c>
      <c r="E110" s="40"/>
      <c r="F110" s="3" t="str">
        <f ca="1">IF(SUMIF(tbl_ploegen,A107,Uitslagen_D)&gt;0,SUMIF(tbl_ploegen,A107,Uitslagen_D),"")</f>
        <v/>
      </c>
      <c r="G110" s="8" t="str">
        <f t="shared" ca="1" si="23"/>
        <v/>
      </c>
      <c r="H110" s="6" t="str">
        <f t="shared" ca="1" si="21"/>
        <v/>
      </c>
      <c r="I110" s="7" t="s">
        <v>72</v>
      </c>
      <c r="J110" s="1"/>
    </row>
    <row r="111" spans="1:10" customFormat="1" ht="16.5" x14ac:dyDescent="0.3">
      <c r="A111" s="2"/>
      <c r="B111" s="2"/>
      <c r="C111" s="3" t="str">
        <f ca="1">IF(F111="","","E")</f>
        <v/>
      </c>
      <c r="D111" s="329" t="str">
        <f ca="1">IF(F111="","","ploeg")</f>
        <v/>
      </c>
      <c r="E111" s="329"/>
      <c r="F111" s="3" t="str">
        <f ca="1">IF(SUMIF(tbl_ploegen,A107,Uitslagen_E)&gt;0,SUMIF(tbl_ploegen,A107,Uitslagen_E),"")</f>
        <v/>
      </c>
      <c r="G111" s="8" t="str">
        <f ca="1">IF(F111="","","/30")</f>
        <v/>
      </c>
      <c r="H111" s="6" t="str">
        <f t="shared" ca="1" si="21"/>
        <v/>
      </c>
      <c r="I111" s="9">
        <f ca="1">SUM(H107:H112)</f>
        <v>0</v>
      </c>
      <c r="J111" s="1"/>
    </row>
    <row r="112" spans="1:10" customFormat="1" ht="16.5" x14ac:dyDescent="0.3">
      <c r="A112" s="2"/>
      <c r="B112" s="2"/>
      <c r="C112" s="3" t="str">
        <f ca="1">IF(F112="","","F")</f>
        <v>F</v>
      </c>
      <c r="D112" s="329" t="str">
        <f ca="1">IF(F112="","","ploeg")</f>
        <v>ploeg</v>
      </c>
      <c r="E112" s="329"/>
      <c r="F112" s="3">
        <f ca="1">IF(SUMIF(tbl_ploegen,A107,Uitslagen_F)&gt;0,SUMIF(tbl_ploegen,A107,Uitslagen_F),"")</f>
        <v>46174</v>
      </c>
      <c r="G112" s="8" t="str">
        <f ca="1">IF(F112="","","/30")</f>
        <v>/30</v>
      </c>
      <c r="H112" s="6">
        <f t="shared" ca="1" si="21"/>
        <v>0</v>
      </c>
      <c r="I112" s="196"/>
      <c r="J112" s="1"/>
    </row>
    <row r="113" spans="1:10" customFormat="1" ht="16.5" x14ac:dyDescent="0.3">
      <c r="A113" s="1"/>
      <c r="B113" s="1"/>
      <c r="C113" s="1"/>
      <c r="D113" s="41"/>
      <c r="E113" s="41"/>
      <c r="F113" s="41"/>
      <c r="G113" s="41"/>
      <c r="H113" s="55" t="str">
        <f>Ploegen!$C$1</f>
        <v>VRIENDENSCHIETING - LAREN</v>
      </c>
      <c r="I113" s="25">
        <f>Ploegen!$H$1</f>
        <v>46172</v>
      </c>
      <c r="J113" s="1"/>
    </row>
    <row r="114" spans="1:10" customFormat="1" ht="15.75" x14ac:dyDescent="0.25">
      <c r="A114" s="196"/>
      <c r="B114" s="196"/>
      <c r="C114" s="196"/>
      <c r="D114" s="196"/>
      <c r="E114" s="196"/>
      <c r="F114" s="196"/>
      <c r="G114" s="196"/>
      <c r="H114" s="55"/>
      <c r="I114" s="25"/>
      <c r="J114" s="40"/>
    </row>
    <row r="115" spans="1:10" customFormat="1" ht="16.5" x14ac:dyDescent="0.3">
      <c r="A115" s="2">
        <f>aantal_ploegen</f>
        <v>0</v>
      </c>
      <c r="B115" s="2" t="s">
        <v>69</v>
      </c>
      <c r="C115" s="3">
        <f>Aantal_30</f>
        <v>0</v>
      </c>
      <c r="D115" s="3">
        <v>30</v>
      </c>
      <c r="E115" s="197" t="s">
        <v>70</v>
      </c>
      <c r="F115" s="4">
        <f>Bedrag_per_ploeg_30</f>
        <v>0</v>
      </c>
      <c r="G115" s="196"/>
      <c r="H115" s="59"/>
      <c r="I115" s="1"/>
      <c r="J115" s="1"/>
    </row>
    <row r="116" spans="1:10" customFormat="1" ht="16.5" x14ac:dyDescent="0.3">
      <c r="A116" s="2"/>
      <c r="B116" s="2"/>
      <c r="C116" s="3">
        <f>Aantal_29</f>
        <v>0</v>
      </c>
      <c r="D116" s="3">
        <v>29</v>
      </c>
      <c r="E116" s="197" t="s">
        <v>70</v>
      </c>
      <c r="F116" s="4">
        <f>Bedrag_per_ploeg_29</f>
        <v>0</v>
      </c>
      <c r="G116" s="196"/>
      <c r="H116" s="59"/>
      <c r="I116" s="1"/>
      <c r="J116" s="1"/>
    </row>
    <row r="117" spans="1:10" customFormat="1" ht="16.5" x14ac:dyDescent="0.3">
      <c r="A117" s="2"/>
      <c r="B117" s="2"/>
      <c r="C117" s="3">
        <f>Aantal_28</f>
        <v>0</v>
      </c>
      <c r="D117" s="3">
        <v>28</v>
      </c>
      <c r="E117" s="197" t="s">
        <v>70</v>
      </c>
      <c r="F117" s="4">
        <f>Bedrag_per_ploeg_28</f>
        <v>0</v>
      </c>
      <c r="G117" s="4"/>
      <c r="H117" s="5"/>
      <c r="I117" s="1"/>
      <c r="J117" s="1"/>
    </row>
    <row r="118" spans="1:10" customFormat="1" ht="16.5" x14ac:dyDescent="0.3">
      <c r="A118" s="2"/>
      <c r="B118" s="2"/>
      <c r="C118" s="3" t="str">
        <f>IF(Bedrag_per_ploeg_27&gt;0,Aantal_27,"")</f>
        <v/>
      </c>
      <c r="D118" s="3" t="str">
        <f>IF(Bedrag_per_ploeg_27&gt;0,27,"")</f>
        <v/>
      </c>
      <c r="E118" s="197" t="str">
        <f>IF(Bedrag_per_ploeg_27&gt;0,"/30","")</f>
        <v/>
      </c>
      <c r="F118" s="4" t="str">
        <f>IF(Bedrag_per_ploeg_27&gt;0,Bedrag_per_ploeg_27,"")</f>
        <v/>
      </c>
      <c r="G118" s="4"/>
      <c r="H118" s="5"/>
      <c r="I118" s="2"/>
      <c r="J118" s="1"/>
    </row>
    <row r="119" spans="1:10" customFormat="1" ht="16.5" x14ac:dyDescent="0.3">
      <c r="A119" s="196"/>
      <c r="B119" s="196"/>
      <c r="C119" s="3" t="str">
        <f>IF(Bedrag_per_ploeg_26&gt;0,Aantal_26,"")</f>
        <v/>
      </c>
      <c r="D119" s="3" t="str">
        <f>IF(Bedrag_per_ploeg_26&gt;0,26,"")</f>
        <v/>
      </c>
      <c r="E119" s="197" t="str">
        <f>IF(Bedrag_per_ploeg_26&gt;0,"/30","")</f>
        <v/>
      </c>
      <c r="F119" s="4" t="str">
        <f>IF(Bedrag_per_ploeg_26&gt;0,Bedrag_per_ploeg_26,"")</f>
        <v/>
      </c>
      <c r="G119" s="4"/>
      <c r="H119" s="2"/>
      <c r="I119" s="2"/>
      <c r="J119" s="1"/>
    </row>
    <row r="120" spans="1:10" customFormat="1" ht="16.5" x14ac:dyDescent="0.3">
      <c r="A120" s="196"/>
      <c r="B120" s="196"/>
      <c r="C120" s="3" t="str">
        <f>IF(Bedrag_per_ploeg_25&gt;0,Aantal_25,"")</f>
        <v/>
      </c>
      <c r="D120" s="3" t="str">
        <f>IF(Bedrag_per_ploeg_25&gt;0,25,"")</f>
        <v/>
      </c>
      <c r="E120" s="197" t="str">
        <f>IF(Bedrag_per_ploeg_25&gt;0,"/30","")</f>
        <v/>
      </c>
      <c r="F120" s="4" t="str">
        <f>IF(Bedrag_per_ploeg_25&gt;0,Bedrag_per_ploeg_25,"")</f>
        <v/>
      </c>
      <c r="G120" s="4"/>
      <c r="H120" s="5"/>
      <c r="I120" s="2"/>
      <c r="J120" s="1"/>
    </row>
    <row r="121" spans="1:10" customFormat="1" ht="16.5" x14ac:dyDescent="0.3">
      <c r="A121" s="56" t="str" cm="1">
        <f t="array" aca="1" ref="A121" ca="1">IFERROR(
  INDEX(tbl_ploegen,SMALL(Ploegen!$AG$3:$AG$27,ROW(INDIRECT("A"&amp;(ROW()-9)/14+1)))-2,1),
  ""
)</f>
        <v/>
      </c>
      <c r="B121" s="56"/>
      <c r="C121" s="3" t="str">
        <f ca="1">IF(F121="","","A")</f>
        <v>A</v>
      </c>
      <c r="D121" s="40" t="s">
        <v>71</v>
      </c>
      <c r="E121" s="40"/>
      <c r="F121" s="3">
        <f ca="1">SUMIF(tbl_ploegen,A121,Uitslagen_A)</f>
        <v>0</v>
      </c>
      <c r="G121" s="197" t="s">
        <v>70</v>
      </c>
      <c r="H121" s="6">
        <f t="shared" ref="H121:H126" ca="1" si="24">IF(F121="","",IF(ISNA(VLOOKUP(F121,tbl_prijzen,13,FALSE)),0,VLOOKUP(F121,tbl_prijzen,13,FALSE)))</f>
        <v>0</v>
      </c>
      <c r="I121" s="2"/>
      <c r="J121" s="1"/>
    </row>
    <row r="122" spans="1:10" customFormat="1" ht="16.5" x14ac:dyDescent="0.3">
      <c r="A122" s="2"/>
      <c r="B122" s="2"/>
      <c r="C122" s="3" t="str">
        <f ca="1">IF(F122="","","B")</f>
        <v/>
      </c>
      <c r="D122" s="40" t="str">
        <f t="shared" ref="D122:D124" ca="1" si="25">IF(F122="","","ploeg")</f>
        <v/>
      </c>
      <c r="E122" s="40"/>
      <c r="F122" s="3" t="str">
        <f ca="1">IF(SUMIF(tbl_ploegen,A121,Uitslagen_B)&gt;0,SUMIF(tbl_ploegen,A121,Uitslagen_B),"")</f>
        <v/>
      </c>
      <c r="G122" s="8" t="str">
        <f t="shared" ref="G122:G124" ca="1" si="26">IF(F122="","","/30")</f>
        <v/>
      </c>
      <c r="H122" s="6" t="str">
        <f t="shared" ca="1" si="24"/>
        <v/>
      </c>
      <c r="I122" s="5"/>
      <c r="J122" s="1"/>
    </row>
    <row r="123" spans="1:10" customFormat="1" ht="15.75" x14ac:dyDescent="0.25">
      <c r="A123" s="2"/>
      <c r="B123" s="2"/>
      <c r="C123" s="3" t="str">
        <f ca="1">IF(F123="","","C")</f>
        <v/>
      </c>
      <c r="D123" s="40" t="str">
        <f t="shared" ca="1" si="25"/>
        <v/>
      </c>
      <c r="E123" s="40"/>
      <c r="F123" s="3" t="str">
        <f ca="1">IF(SUMIF(tbl_ploegen,A121,Uitslagen_C)&gt;0,SUMIF(tbl_ploegen,A121,Uitslagen_C),"")</f>
        <v/>
      </c>
      <c r="G123" s="8" t="str">
        <f t="shared" ca="1" si="26"/>
        <v/>
      </c>
      <c r="H123" s="6" t="str">
        <f t="shared" ca="1" si="24"/>
        <v/>
      </c>
      <c r="I123" s="5"/>
      <c r="J123" s="196"/>
    </row>
    <row r="124" spans="1:10" customFormat="1" ht="16.5" x14ac:dyDescent="0.3">
      <c r="A124" s="2"/>
      <c r="B124" s="2"/>
      <c r="C124" s="3" t="str">
        <f ca="1">IF(F124="","","D")</f>
        <v/>
      </c>
      <c r="D124" s="40" t="str">
        <f t="shared" ca="1" si="25"/>
        <v/>
      </c>
      <c r="E124" s="40"/>
      <c r="F124" s="3" t="str">
        <f ca="1">IF(SUMIF(tbl_ploegen,A121,Uitslagen_D)&gt;0,SUMIF(tbl_ploegen,A121,Uitslagen_D),"")</f>
        <v/>
      </c>
      <c r="G124" s="8" t="str">
        <f t="shared" ca="1" si="26"/>
        <v/>
      </c>
      <c r="H124" s="6" t="str">
        <f t="shared" ca="1" si="24"/>
        <v/>
      </c>
      <c r="I124" s="7" t="s">
        <v>72</v>
      </c>
      <c r="J124" s="1"/>
    </row>
    <row r="125" spans="1:10" customFormat="1" ht="16.5" x14ac:dyDescent="0.3">
      <c r="A125" s="2"/>
      <c r="B125" s="2"/>
      <c r="C125" s="3" t="str">
        <f ca="1">IF(F125="","","E")</f>
        <v/>
      </c>
      <c r="D125" s="329" t="str">
        <f ca="1">IF(F125="","","ploeg")</f>
        <v/>
      </c>
      <c r="E125" s="329"/>
      <c r="F125" s="3" t="str">
        <f ca="1">IF(SUMIF(tbl_ploegen,A121,Uitslagen_E)&gt;0,SUMIF(tbl_ploegen,A121,Uitslagen_E),"")</f>
        <v/>
      </c>
      <c r="G125" s="8" t="str">
        <f ca="1">IF(F125="","","/30")</f>
        <v/>
      </c>
      <c r="H125" s="6" t="str">
        <f t="shared" ca="1" si="24"/>
        <v/>
      </c>
      <c r="I125" s="9">
        <f ca="1">SUM(H121:H126)</f>
        <v>0</v>
      </c>
      <c r="J125" s="1"/>
    </row>
    <row r="126" spans="1:10" customFormat="1" ht="16.5" x14ac:dyDescent="0.3">
      <c r="A126" s="2"/>
      <c r="B126" s="2"/>
      <c r="C126" s="3" t="str">
        <f ca="1">IF(F126="","","F")</f>
        <v>F</v>
      </c>
      <c r="D126" s="329" t="str">
        <f ca="1">IF(F126="","","ploeg")</f>
        <v>ploeg</v>
      </c>
      <c r="E126" s="329"/>
      <c r="F126" s="3">
        <f ca="1">IF(SUMIF(tbl_ploegen,A121,Uitslagen_F)&gt;0,SUMIF(tbl_ploegen,A121,Uitslagen_F),"")</f>
        <v>46174</v>
      </c>
      <c r="G126" s="8" t="str">
        <f ca="1">IF(F126="","","/30")</f>
        <v>/30</v>
      </c>
      <c r="H126" s="6">
        <f t="shared" ca="1" si="24"/>
        <v>0</v>
      </c>
      <c r="I126" s="196"/>
      <c r="J126" s="1"/>
    </row>
    <row r="127" spans="1:10" customFormat="1" ht="16.5" x14ac:dyDescent="0.3">
      <c r="A127" s="1"/>
      <c r="B127" s="1"/>
      <c r="C127" s="1"/>
      <c r="D127" s="41"/>
      <c r="E127" s="41"/>
      <c r="F127" s="41"/>
      <c r="G127" s="41"/>
      <c r="H127" s="55" t="str">
        <f>Ploegen!$C$1</f>
        <v>VRIENDENSCHIETING - LAREN</v>
      </c>
      <c r="I127" s="25">
        <f>Ploegen!$H$1</f>
        <v>46172</v>
      </c>
      <c r="J127" s="1"/>
    </row>
    <row r="128" spans="1:10" customFormat="1" ht="15.75" x14ac:dyDescent="0.25">
      <c r="A128" s="196"/>
      <c r="B128" s="196"/>
      <c r="C128" s="196"/>
      <c r="D128" s="196"/>
      <c r="E128" s="196"/>
      <c r="F128" s="196"/>
      <c r="G128" s="196"/>
      <c r="H128" s="55"/>
      <c r="I128" s="25"/>
      <c r="J128" s="40"/>
    </row>
    <row r="129" spans="1:10" customFormat="1" ht="16.5" x14ac:dyDescent="0.3">
      <c r="A129" s="2">
        <f>aantal_ploegen</f>
        <v>0</v>
      </c>
      <c r="B129" s="2" t="s">
        <v>69</v>
      </c>
      <c r="C129" s="3">
        <f>Aantal_30</f>
        <v>0</v>
      </c>
      <c r="D129" s="3">
        <v>30</v>
      </c>
      <c r="E129" s="197" t="s">
        <v>70</v>
      </c>
      <c r="F129" s="4">
        <f>Bedrag_per_ploeg_30</f>
        <v>0</v>
      </c>
      <c r="G129" s="196"/>
      <c r="H129" s="59"/>
      <c r="I129" s="1"/>
      <c r="J129" s="1"/>
    </row>
    <row r="130" spans="1:10" customFormat="1" ht="16.5" x14ac:dyDescent="0.3">
      <c r="A130" s="2"/>
      <c r="B130" s="2"/>
      <c r="C130" s="3">
        <f>Aantal_29</f>
        <v>0</v>
      </c>
      <c r="D130" s="3">
        <v>29</v>
      </c>
      <c r="E130" s="197" t="s">
        <v>70</v>
      </c>
      <c r="F130" s="4">
        <f>Bedrag_per_ploeg_29</f>
        <v>0</v>
      </c>
      <c r="G130" s="196"/>
      <c r="H130" s="59"/>
      <c r="I130" s="1"/>
      <c r="J130" s="1"/>
    </row>
    <row r="131" spans="1:10" customFormat="1" ht="16.5" x14ac:dyDescent="0.3">
      <c r="A131" s="2"/>
      <c r="B131" s="2"/>
      <c r="C131" s="3">
        <f>Aantal_28</f>
        <v>0</v>
      </c>
      <c r="D131" s="3">
        <v>28</v>
      </c>
      <c r="E131" s="197" t="s">
        <v>70</v>
      </c>
      <c r="F131" s="4">
        <f>Bedrag_per_ploeg_28</f>
        <v>0</v>
      </c>
      <c r="G131" s="4"/>
      <c r="H131" s="5"/>
      <c r="I131" s="1"/>
      <c r="J131" s="1"/>
    </row>
    <row r="132" spans="1:10" customFormat="1" ht="16.5" x14ac:dyDescent="0.3">
      <c r="A132" s="2"/>
      <c r="B132" s="2"/>
      <c r="C132" s="3" t="str">
        <f>IF(Bedrag_per_ploeg_27&gt;0,Aantal_27,"")</f>
        <v/>
      </c>
      <c r="D132" s="3" t="str">
        <f>IF(Bedrag_per_ploeg_27&gt;0,27,"")</f>
        <v/>
      </c>
      <c r="E132" s="197" t="str">
        <f>IF(Bedrag_per_ploeg_27&gt;0,"/30","")</f>
        <v/>
      </c>
      <c r="F132" s="4" t="str">
        <f>IF(Bedrag_per_ploeg_27&gt;0,Bedrag_per_ploeg_27,"")</f>
        <v/>
      </c>
      <c r="G132" s="4"/>
      <c r="H132" s="5"/>
      <c r="I132" s="2"/>
      <c r="J132" s="1"/>
    </row>
    <row r="133" spans="1:10" customFormat="1" ht="16.5" x14ac:dyDescent="0.3">
      <c r="A133" s="196"/>
      <c r="B133" s="196"/>
      <c r="C133" s="3" t="str">
        <f>IF(Bedrag_per_ploeg_26&gt;0,Aantal_26,"")</f>
        <v/>
      </c>
      <c r="D133" s="3" t="str">
        <f>IF(Bedrag_per_ploeg_26&gt;0,26,"")</f>
        <v/>
      </c>
      <c r="E133" s="197" t="str">
        <f>IF(Bedrag_per_ploeg_26&gt;0,"/30","")</f>
        <v/>
      </c>
      <c r="F133" s="4" t="str">
        <f>IF(Bedrag_per_ploeg_26&gt;0,Bedrag_per_ploeg_26,"")</f>
        <v/>
      </c>
      <c r="G133" s="4"/>
      <c r="H133" s="2"/>
      <c r="I133" s="2"/>
      <c r="J133" s="1"/>
    </row>
    <row r="134" spans="1:10" customFormat="1" ht="16.5" x14ac:dyDescent="0.3">
      <c r="A134" s="196"/>
      <c r="B134" s="196"/>
      <c r="C134" s="3" t="str">
        <f>IF(Bedrag_per_ploeg_25&gt;0,Aantal_25,"")</f>
        <v/>
      </c>
      <c r="D134" s="3" t="str">
        <f>IF(Bedrag_per_ploeg_25&gt;0,25,"")</f>
        <v/>
      </c>
      <c r="E134" s="197" t="str">
        <f>IF(Bedrag_per_ploeg_25&gt;0,"/30","")</f>
        <v/>
      </c>
      <c r="F134" s="4" t="str">
        <f>IF(Bedrag_per_ploeg_25&gt;0,Bedrag_per_ploeg_25,"")</f>
        <v/>
      </c>
      <c r="G134" s="4"/>
      <c r="H134" s="5"/>
      <c r="I134" s="2"/>
      <c r="J134" s="1"/>
    </row>
    <row r="135" spans="1:10" customFormat="1" ht="16.5" x14ac:dyDescent="0.3">
      <c r="A135" s="56" t="str" cm="1">
        <f t="array" aca="1" ref="A135" ca="1">IFERROR(
  INDEX(tbl_ploegen,SMALL(Ploegen!$AG$3:$AG$27,ROW(INDIRECT("A"&amp;(ROW()-9)/14+1)))-2,1),
  ""
)</f>
        <v/>
      </c>
      <c r="B135" s="56"/>
      <c r="C135" s="3" t="str">
        <f ca="1">IF(F135="","","A")</f>
        <v>A</v>
      </c>
      <c r="D135" s="40" t="s">
        <v>71</v>
      </c>
      <c r="E135" s="40"/>
      <c r="F135" s="3">
        <f ca="1">SUMIF(tbl_ploegen,A135,Uitslagen_A)</f>
        <v>0</v>
      </c>
      <c r="G135" s="197" t="s">
        <v>70</v>
      </c>
      <c r="H135" s="6">
        <f t="shared" ref="H135:H140" ca="1" si="27">IF(F135="","",IF(ISNA(VLOOKUP(F135,tbl_prijzen,13,FALSE)),0,VLOOKUP(F135,tbl_prijzen,13,FALSE)))</f>
        <v>0</v>
      </c>
      <c r="I135" s="2"/>
      <c r="J135" s="1"/>
    </row>
    <row r="136" spans="1:10" customFormat="1" ht="16.5" x14ac:dyDescent="0.3">
      <c r="A136" s="2"/>
      <c r="B136" s="2"/>
      <c r="C136" s="3" t="str">
        <f ca="1">IF(F136="","","B")</f>
        <v/>
      </c>
      <c r="D136" s="40" t="str">
        <f t="shared" ref="D136:D138" ca="1" si="28">IF(F136="","","ploeg")</f>
        <v/>
      </c>
      <c r="E136" s="40"/>
      <c r="F136" s="3" t="str">
        <f ca="1">IF(SUMIF(tbl_ploegen,A135,Uitslagen_B)&gt;0,SUMIF(tbl_ploegen,A135,Uitslagen_B),"")</f>
        <v/>
      </c>
      <c r="G136" s="8" t="str">
        <f t="shared" ref="G136:G138" ca="1" si="29">IF(F136="","","/30")</f>
        <v/>
      </c>
      <c r="H136" s="6" t="str">
        <f t="shared" ca="1" si="27"/>
        <v/>
      </c>
      <c r="I136" s="5"/>
      <c r="J136" s="1"/>
    </row>
    <row r="137" spans="1:10" customFormat="1" ht="15.75" x14ac:dyDescent="0.25">
      <c r="A137" s="2"/>
      <c r="B137" s="2"/>
      <c r="C137" s="3" t="str">
        <f ca="1">IF(F137="","","C")</f>
        <v/>
      </c>
      <c r="D137" s="40" t="str">
        <f t="shared" ca="1" si="28"/>
        <v/>
      </c>
      <c r="E137" s="40"/>
      <c r="F137" s="3" t="str">
        <f ca="1">IF(SUMIF(tbl_ploegen,A135,Uitslagen_C)&gt;0,SUMIF(tbl_ploegen,A135,Uitslagen_C),"")</f>
        <v/>
      </c>
      <c r="G137" s="8" t="str">
        <f t="shared" ca="1" si="29"/>
        <v/>
      </c>
      <c r="H137" s="6" t="str">
        <f t="shared" ca="1" si="27"/>
        <v/>
      </c>
      <c r="I137" s="5"/>
      <c r="J137" s="196"/>
    </row>
    <row r="138" spans="1:10" customFormat="1" ht="16.5" x14ac:dyDescent="0.3">
      <c r="A138" s="2"/>
      <c r="B138" s="2"/>
      <c r="C138" s="3" t="str">
        <f ca="1">IF(F138="","","D")</f>
        <v/>
      </c>
      <c r="D138" s="40" t="str">
        <f t="shared" ca="1" si="28"/>
        <v/>
      </c>
      <c r="E138" s="40"/>
      <c r="F138" s="3" t="str">
        <f ca="1">IF(SUMIF(tbl_ploegen,A135,Uitslagen_D)&gt;0,SUMIF(tbl_ploegen,A135,Uitslagen_D),"")</f>
        <v/>
      </c>
      <c r="G138" s="8" t="str">
        <f t="shared" ca="1" si="29"/>
        <v/>
      </c>
      <c r="H138" s="6" t="str">
        <f t="shared" ca="1" si="27"/>
        <v/>
      </c>
      <c r="I138" s="7" t="s">
        <v>72</v>
      </c>
      <c r="J138" s="1"/>
    </row>
    <row r="139" spans="1:10" customFormat="1" ht="16.5" x14ac:dyDescent="0.3">
      <c r="A139" s="2"/>
      <c r="B139" s="2"/>
      <c r="C139" s="3" t="str">
        <f ca="1">IF(F139="","","E")</f>
        <v/>
      </c>
      <c r="D139" s="329" t="str">
        <f ca="1">IF(F139="","","ploeg")</f>
        <v/>
      </c>
      <c r="E139" s="329"/>
      <c r="F139" s="3" t="str">
        <f ca="1">IF(SUMIF(tbl_ploegen,A135,Uitslagen_E)&gt;0,SUMIF(tbl_ploegen,A135,Uitslagen_E),"")</f>
        <v/>
      </c>
      <c r="G139" s="8" t="str">
        <f ca="1">IF(F139="","","/30")</f>
        <v/>
      </c>
      <c r="H139" s="6" t="str">
        <f t="shared" ca="1" si="27"/>
        <v/>
      </c>
      <c r="I139" s="9">
        <f ca="1">SUM(H135:H140)</f>
        <v>0</v>
      </c>
      <c r="J139" s="1"/>
    </row>
    <row r="140" spans="1:10" customFormat="1" ht="16.5" x14ac:dyDescent="0.3">
      <c r="A140" s="2"/>
      <c r="B140" s="2"/>
      <c r="C140" s="3" t="str">
        <f ca="1">IF(F140="","","F")</f>
        <v>F</v>
      </c>
      <c r="D140" s="329" t="str">
        <f ca="1">IF(F140="","","ploeg")</f>
        <v>ploeg</v>
      </c>
      <c r="E140" s="329"/>
      <c r="F140" s="3">
        <f ca="1">IF(SUMIF(tbl_ploegen,A135,Uitslagen_F)&gt;0,SUMIF(tbl_ploegen,A135,Uitslagen_F),"")</f>
        <v>46174</v>
      </c>
      <c r="G140" s="8" t="str">
        <f ca="1">IF(F140="","","/30")</f>
        <v>/30</v>
      </c>
      <c r="H140" s="6">
        <f t="shared" ca="1" si="27"/>
        <v>0</v>
      </c>
      <c r="I140" s="196"/>
      <c r="J140" s="1"/>
    </row>
    <row r="141" spans="1:10" customFormat="1" ht="16.5" x14ac:dyDescent="0.3">
      <c r="A141" s="1"/>
      <c r="B141" s="1"/>
      <c r="C141" s="1"/>
      <c r="D141" s="41"/>
      <c r="E141" s="41"/>
      <c r="F141" s="41"/>
      <c r="G141" s="41"/>
      <c r="H141" s="55" t="str">
        <f>Ploegen!$C$1</f>
        <v>VRIENDENSCHIETING - LAREN</v>
      </c>
      <c r="I141" s="25">
        <f>Ploegen!$H$1</f>
        <v>46172</v>
      </c>
      <c r="J141" s="1"/>
    </row>
    <row r="142" spans="1:10" customFormat="1" ht="15.75" x14ac:dyDescent="0.25">
      <c r="A142" s="196"/>
      <c r="B142" s="196"/>
      <c r="C142" s="196"/>
      <c r="D142" s="196"/>
      <c r="E142" s="196"/>
      <c r="F142" s="196"/>
      <c r="G142" s="196"/>
      <c r="H142" s="55"/>
      <c r="I142" s="25"/>
      <c r="J142" s="40"/>
    </row>
    <row r="143" spans="1:10" customFormat="1" ht="16.5" x14ac:dyDescent="0.3">
      <c r="A143" s="2">
        <f>aantal_ploegen</f>
        <v>0</v>
      </c>
      <c r="B143" s="2" t="s">
        <v>69</v>
      </c>
      <c r="C143" s="3">
        <f>Aantal_30</f>
        <v>0</v>
      </c>
      <c r="D143" s="3">
        <v>30</v>
      </c>
      <c r="E143" s="197" t="s">
        <v>70</v>
      </c>
      <c r="F143" s="4">
        <f>Bedrag_per_ploeg_30</f>
        <v>0</v>
      </c>
      <c r="G143" s="196"/>
      <c r="H143" s="59"/>
      <c r="I143" s="1"/>
      <c r="J143" s="1"/>
    </row>
    <row r="144" spans="1:10" customFormat="1" ht="16.5" x14ac:dyDescent="0.3">
      <c r="A144" s="2"/>
      <c r="B144" s="2"/>
      <c r="C144" s="3">
        <f>Aantal_29</f>
        <v>0</v>
      </c>
      <c r="D144" s="3">
        <v>29</v>
      </c>
      <c r="E144" s="197" t="s">
        <v>70</v>
      </c>
      <c r="F144" s="4">
        <f>Bedrag_per_ploeg_29</f>
        <v>0</v>
      </c>
      <c r="G144" s="196"/>
      <c r="H144" s="59"/>
      <c r="I144" s="1"/>
      <c r="J144" s="1"/>
    </row>
    <row r="145" spans="1:10" customFormat="1" ht="16.5" x14ac:dyDescent="0.3">
      <c r="A145" s="2"/>
      <c r="B145" s="2"/>
      <c r="C145" s="3">
        <f>Aantal_28</f>
        <v>0</v>
      </c>
      <c r="D145" s="3">
        <v>28</v>
      </c>
      <c r="E145" s="197" t="s">
        <v>70</v>
      </c>
      <c r="F145" s="4">
        <f>Bedrag_per_ploeg_28</f>
        <v>0</v>
      </c>
      <c r="G145" s="4"/>
      <c r="H145" s="5"/>
      <c r="I145" s="1"/>
      <c r="J145" s="1"/>
    </row>
    <row r="146" spans="1:10" customFormat="1" ht="16.5" x14ac:dyDescent="0.3">
      <c r="A146" s="2"/>
      <c r="B146" s="2"/>
      <c r="C146" s="3" t="str">
        <f>IF(Bedrag_per_ploeg_27&gt;0,Aantal_27,"")</f>
        <v/>
      </c>
      <c r="D146" s="3" t="str">
        <f>IF(Bedrag_per_ploeg_27&gt;0,27,"")</f>
        <v/>
      </c>
      <c r="E146" s="197" t="str">
        <f>IF(Bedrag_per_ploeg_27&gt;0,"/30","")</f>
        <v/>
      </c>
      <c r="F146" s="4" t="str">
        <f>IF(Bedrag_per_ploeg_27&gt;0,Bedrag_per_ploeg_27,"")</f>
        <v/>
      </c>
      <c r="G146" s="4"/>
      <c r="H146" s="5"/>
      <c r="I146" s="2"/>
      <c r="J146" s="1"/>
    </row>
    <row r="147" spans="1:10" customFormat="1" ht="16.5" x14ac:dyDescent="0.3">
      <c r="A147" s="196"/>
      <c r="B147" s="196"/>
      <c r="C147" s="3" t="str">
        <f>IF(Bedrag_per_ploeg_26&gt;0,Aantal_26,"")</f>
        <v/>
      </c>
      <c r="D147" s="3" t="str">
        <f>IF(Bedrag_per_ploeg_26&gt;0,26,"")</f>
        <v/>
      </c>
      <c r="E147" s="197" t="str">
        <f>IF(Bedrag_per_ploeg_26&gt;0,"/30","")</f>
        <v/>
      </c>
      <c r="F147" s="4" t="str">
        <f>IF(Bedrag_per_ploeg_26&gt;0,Bedrag_per_ploeg_26,"")</f>
        <v/>
      </c>
      <c r="G147" s="4"/>
      <c r="H147" s="2"/>
      <c r="I147" s="2"/>
      <c r="J147" s="1"/>
    </row>
    <row r="148" spans="1:10" customFormat="1" ht="16.5" x14ac:dyDescent="0.3">
      <c r="A148" s="196"/>
      <c r="B148" s="196"/>
      <c r="C148" s="3" t="str">
        <f>IF(Bedrag_per_ploeg_25&gt;0,Aantal_25,"")</f>
        <v/>
      </c>
      <c r="D148" s="3" t="str">
        <f>IF(Bedrag_per_ploeg_25&gt;0,25,"")</f>
        <v/>
      </c>
      <c r="E148" s="197" t="str">
        <f>IF(Bedrag_per_ploeg_25&gt;0,"/30","")</f>
        <v/>
      </c>
      <c r="F148" s="4" t="str">
        <f>IF(Bedrag_per_ploeg_25&gt;0,Bedrag_per_ploeg_25,"")</f>
        <v/>
      </c>
      <c r="G148" s="4"/>
      <c r="H148" s="5"/>
      <c r="I148" s="2"/>
      <c r="J148" s="1"/>
    </row>
    <row r="149" spans="1:10" customFormat="1" ht="16.5" x14ac:dyDescent="0.3">
      <c r="A149" s="56" t="str" cm="1">
        <f t="array" aca="1" ref="A149" ca="1">IFERROR(
  INDEX(tbl_ploegen,SMALL(Ploegen!$AG$3:$AG$27,ROW(INDIRECT("A"&amp;(ROW()-9)/14+1)))-2,1),
  ""
)</f>
        <v/>
      </c>
      <c r="B149" s="56"/>
      <c r="C149" s="3" t="str">
        <f ca="1">IF(F149="","","A")</f>
        <v>A</v>
      </c>
      <c r="D149" s="40" t="s">
        <v>71</v>
      </c>
      <c r="E149" s="40"/>
      <c r="F149" s="3">
        <f ca="1">SUMIF(tbl_ploegen,A149,Uitslagen_A)</f>
        <v>0</v>
      </c>
      <c r="G149" s="197" t="s">
        <v>70</v>
      </c>
      <c r="H149" s="6">
        <f t="shared" ref="H149:H154" ca="1" si="30">IF(F149="","",IF(ISNA(VLOOKUP(F149,tbl_prijzen,13,FALSE)),0,VLOOKUP(F149,tbl_prijzen,13,FALSE)))</f>
        <v>0</v>
      </c>
      <c r="I149" s="2"/>
      <c r="J149" s="1"/>
    </row>
    <row r="150" spans="1:10" customFormat="1" ht="16.5" x14ac:dyDescent="0.3">
      <c r="A150" s="2"/>
      <c r="B150" s="2"/>
      <c r="C150" s="3" t="str">
        <f ca="1">IF(F150="","","B")</f>
        <v/>
      </c>
      <c r="D150" s="40" t="str">
        <f t="shared" ref="D150:D152" ca="1" si="31">IF(F150="","","ploeg")</f>
        <v/>
      </c>
      <c r="E150" s="40"/>
      <c r="F150" s="3" t="str">
        <f ca="1">IF(SUMIF(tbl_ploegen,A149,Uitslagen_B)&gt;0,SUMIF(tbl_ploegen,A149,Uitslagen_B),"")</f>
        <v/>
      </c>
      <c r="G150" s="8" t="str">
        <f t="shared" ref="G150:G152" ca="1" si="32">IF(F150="","","/30")</f>
        <v/>
      </c>
      <c r="H150" s="6" t="str">
        <f t="shared" ca="1" si="30"/>
        <v/>
      </c>
      <c r="I150" s="5"/>
      <c r="J150" s="1"/>
    </row>
    <row r="151" spans="1:10" customFormat="1" ht="15.75" x14ac:dyDescent="0.25">
      <c r="A151" s="2"/>
      <c r="B151" s="2"/>
      <c r="C151" s="3" t="str">
        <f ca="1">IF(F151="","","C")</f>
        <v/>
      </c>
      <c r="D151" s="40" t="str">
        <f t="shared" ca="1" si="31"/>
        <v/>
      </c>
      <c r="E151" s="40"/>
      <c r="F151" s="3" t="str">
        <f ca="1">IF(SUMIF(tbl_ploegen,A149,Uitslagen_C)&gt;0,SUMIF(tbl_ploegen,A149,Uitslagen_C),"")</f>
        <v/>
      </c>
      <c r="G151" s="8" t="str">
        <f ca="1">IF(F151="","","/30")</f>
        <v/>
      </c>
      <c r="H151" s="6" t="str">
        <f t="shared" ca="1" si="30"/>
        <v/>
      </c>
      <c r="I151" s="5"/>
      <c r="J151" s="196"/>
    </row>
    <row r="152" spans="1:10" customFormat="1" ht="16.5" x14ac:dyDescent="0.3">
      <c r="A152" s="2"/>
      <c r="B152" s="2"/>
      <c r="C152" s="3" t="str">
        <f ca="1">IF(F152="","","D")</f>
        <v/>
      </c>
      <c r="D152" s="40" t="str">
        <f t="shared" ca="1" si="31"/>
        <v/>
      </c>
      <c r="E152" s="40"/>
      <c r="F152" s="3" t="str">
        <f ca="1">IF(SUMIF(tbl_ploegen,A149,Uitslagen_D)&gt;0,SUMIF(tbl_ploegen,A149,Uitslagen_D),"")</f>
        <v/>
      </c>
      <c r="G152" s="8" t="str">
        <f t="shared" ca="1" si="32"/>
        <v/>
      </c>
      <c r="H152" s="6" t="str">
        <f t="shared" ca="1" si="30"/>
        <v/>
      </c>
      <c r="I152" s="7" t="s">
        <v>72</v>
      </c>
      <c r="J152" s="1"/>
    </row>
    <row r="153" spans="1:10" customFormat="1" ht="16.5" x14ac:dyDescent="0.3">
      <c r="A153" s="2"/>
      <c r="B153" s="2"/>
      <c r="C153" s="3" t="str">
        <f ca="1">IF(F153="","","E")</f>
        <v/>
      </c>
      <c r="D153" s="329" t="str">
        <f ca="1">IF(F153="","","ploeg")</f>
        <v/>
      </c>
      <c r="E153" s="329"/>
      <c r="F153" s="3" t="str">
        <f ca="1">IF(SUMIF(tbl_ploegen,A149,Uitslagen_E)&gt;0,SUMIF(tbl_ploegen,A149,Uitslagen_E),"")</f>
        <v/>
      </c>
      <c r="G153" s="8" t="str">
        <f ca="1">IF(F153="","","/30")</f>
        <v/>
      </c>
      <c r="H153" s="6" t="str">
        <f t="shared" ca="1" si="30"/>
        <v/>
      </c>
      <c r="I153" s="9">
        <f ca="1">SUM(H149:H154)</f>
        <v>0</v>
      </c>
      <c r="J153" s="1"/>
    </row>
    <row r="154" spans="1:10" customFormat="1" ht="16.5" x14ac:dyDescent="0.3">
      <c r="A154" s="2"/>
      <c r="B154" s="2"/>
      <c r="C154" s="3" t="str">
        <f ca="1">IF(F154="","","F")</f>
        <v>F</v>
      </c>
      <c r="D154" s="329" t="str">
        <f ca="1">IF(F154="","","ploeg")</f>
        <v>ploeg</v>
      </c>
      <c r="E154" s="329"/>
      <c r="F154" s="3">
        <f ca="1">IF(SUMIF(tbl_ploegen,A149,Uitslagen_F)&gt;0,SUMIF(tbl_ploegen,A149,Uitslagen_F),"")</f>
        <v>46174</v>
      </c>
      <c r="G154" s="8" t="str">
        <f ca="1">IF(F154="","","/30")</f>
        <v>/30</v>
      </c>
      <c r="H154" s="6">
        <f t="shared" ca="1" si="30"/>
        <v>0</v>
      </c>
      <c r="I154" s="196"/>
      <c r="J154" s="1"/>
    </row>
    <row r="155" spans="1:10" customFormat="1" ht="16.5" x14ac:dyDescent="0.3">
      <c r="A155" s="1"/>
      <c r="B155" s="1"/>
      <c r="C155" s="1"/>
      <c r="D155" s="41"/>
      <c r="E155" s="41"/>
      <c r="F155" s="41"/>
      <c r="G155" s="41"/>
      <c r="H155" s="55" t="str">
        <f>Ploegen!$C$1</f>
        <v>VRIENDENSCHIETING - LAREN</v>
      </c>
      <c r="I155" s="25">
        <f>Ploegen!$H$1</f>
        <v>46172</v>
      </c>
      <c r="J155" s="1"/>
    </row>
    <row r="156" spans="1:10" customFormat="1" ht="15.75" x14ac:dyDescent="0.25">
      <c r="A156" s="196"/>
      <c r="B156" s="196"/>
      <c r="C156" s="196"/>
      <c r="D156" s="196"/>
      <c r="E156" s="196"/>
      <c r="F156" s="196"/>
      <c r="G156" s="196"/>
      <c r="H156" s="55"/>
      <c r="I156" s="25"/>
      <c r="J156" s="40"/>
    </row>
    <row r="157" spans="1:10" customFormat="1" ht="16.5" x14ac:dyDescent="0.3">
      <c r="A157" s="2">
        <f>aantal_ploegen</f>
        <v>0</v>
      </c>
      <c r="B157" s="2" t="s">
        <v>69</v>
      </c>
      <c r="C157" s="3">
        <f>Aantal_30</f>
        <v>0</v>
      </c>
      <c r="D157" s="3">
        <v>30</v>
      </c>
      <c r="E157" s="197" t="s">
        <v>70</v>
      </c>
      <c r="F157" s="4">
        <f>Bedrag_per_ploeg_30</f>
        <v>0</v>
      </c>
      <c r="G157" s="196"/>
      <c r="H157" s="59"/>
      <c r="I157" s="1"/>
      <c r="J157" s="1"/>
    </row>
    <row r="158" spans="1:10" customFormat="1" ht="16.5" x14ac:dyDescent="0.3">
      <c r="A158" s="2"/>
      <c r="B158" s="2"/>
      <c r="C158" s="3">
        <f>Aantal_29</f>
        <v>0</v>
      </c>
      <c r="D158" s="3">
        <v>29</v>
      </c>
      <c r="E158" s="197" t="s">
        <v>70</v>
      </c>
      <c r="F158" s="4">
        <f>Bedrag_per_ploeg_29</f>
        <v>0</v>
      </c>
      <c r="G158" s="196"/>
      <c r="H158" s="59"/>
      <c r="I158" s="1"/>
      <c r="J158" s="1"/>
    </row>
    <row r="159" spans="1:10" customFormat="1" ht="16.5" x14ac:dyDescent="0.3">
      <c r="A159" s="2"/>
      <c r="B159" s="2"/>
      <c r="C159" s="3">
        <f>Aantal_28</f>
        <v>0</v>
      </c>
      <c r="D159" s="3">
        <v>28</v>
      </c>
      <c r="E159" s="197" t="s">
        <v>70</v>
      </c>
      <c r="F159" s="4">
        <f>Bedrag_per_ploeg_28</f>
        <v>0</v>
      </c>
      <c r="G159" s="4"/>
      <c r="H159" s="5"/>
      <c r="I159" s="1"/>
      <c r="J159" s="1"/>
    </row>
    <row r="160" spans="1:10" customFormat="1" ht="16.5" x14ac:dyDescent="0.3">
      <c r="A160" s="2"/>
      <c r="B160" s="2"/>
      <c r="C160" s="3" t="str">
        <f>IF(Bedrag_per_ploeg_27&gt;0,Aantal_27,"")</f>
        <v/>
      </c>
      <c r="D160" s="3" t="str">
        <f>IF(Bedrag_per_ploeg_27&gt;0,27,"")</f>
        <v/>
      </c>
      <c r="E160" s="197" t="str">
        <f>IF(Bedrag_per_ploeg_27&gt;0,"/30","")</f>
        <v/>
      </c>
      <c r="F160" s="4" t="str">
        <f>IF(Bedrag_per_ploeg_27&gt;0,Bedrag_per_ploeg_27,"")</f>
        <v/>
      </c>
      <c r="G160" s="4"/>
      <c r="H160" s="5"/>
      <c r="I160" s="2"/>
      <c r="J160" s="1"/>
    </row>
    <row r="161" spans="1:10" customFormat="1" ht="16.5" x14ac:dyDescent="0.3">
      <c r="A161" s="196"/>
      <c r="B161" s="196"/>
      <c r="C161" s="3" t="str">
        <f>IF(Bedrag_per_ploeg_26&gt;0,Aantal_26,"")</f>
        <v/>
      </c>
      <c r="D161" s="3" t="str">
        <f>IF(Bedrag_per_ploeg_26&gt;0,26,"")</f>
        <v/>
      </c>
      <c r="E161" s="197" t="str">
        <f>IF(Bedrag_per_ploeg_26&gt;0,"/30","")</f>
        <v/>
      </c>
      <c r="F161" s="4" t="str">
        <f>IF(Bedrag_per_ploeg_26&gt;0,Bedrag_per_ploeg_26,"")</f>
        <v/>
      </c>
      <c r="G161" s="4"/>
      <c r="H161" s="2"/>
      <c r="I161" s="2"/>
      <c r="J161" s="1"/>
    </row>
    <row r="162" spans="1:10" customFormat="1" ht="16.5" x14ac:dyDescent="0.3">
      <c r="A162" s="196"/>
      <c r="B162" s="196"/>
      <c r="C162" s="3" t="str">
        <f>IF(Bedrag_per_ploeg_25&gt;0,Aantal_25,"")</f>
        <v/>
      </c>
      <c r="D162" s="3" t="str">
        <f>IF(Bedrag_per_ploeg_25&gt;0,25,"")</f>
        <v/>
      </c>
      <c r="E162" s="197" t="str">
        <f>IF(Bedrag_per_ploeg_25&gt;0,"/30","")</f>
        <v/>
      </c>
      <c r="F162" s="4" t="str">
        <f>IF(Bedrag_per_ploeg_25&gt;0,Bedrag_per_ploeg_25,"")</f>
        <v/>
      </c>
      <c r="G162" s="4"/>
      <c r="H162" s="5"/>
      <c r="I162" s="2"/>
      <c r="J162" s="1"/>
    </row>
    <row r="163" spans="1:10" customFormat="1" ht="16.5" x14ac:dyDescent="0.3">
      <c r="A163" s="56" t="str" cm="1">
        <f t="array" aca="1" ref="A163" ca="1">IFERROR(
  INDEX(tbl_ploegen,SMALL(Ploegen!$AG$3:$AG$27,ROW(INDIRECT("A"&amp;(ROW()-9)/14+1)))-2,1),
  ""
)</f>
        <v/>
      </c>
      <c r="B163" s="56"/>
      <c r="C163" s="3" t="str">
        <f ca="1">IF(F163="","","A")</f>
        <v>A</v>
      </c>
      <c r="D163" s="40" t="s">
        <v>71</v>
      </c>
      <c r="E163" s="40"/>
      <c r="F163" s="3">
        <f ca="1">SUMIF(tbl_ploegen,A163,Uitslagen_A)</f>
        <v>0</v>
      </c>
      <c r="G163" s="197" t="s">
        <v>70</v>
      </c>
      <c r="H163" s="6">
        <f t="shared" ref="H163:H168" ca="1" si="33">IF(F163="","",IF(ISNA(VLOOKUP(F163,tbl_prijzen,13,FALSE)),0,VLOOKUP(F163,tbl_prijzen,13,FALSE)))</f>
        <v>0</v>
      </c>
      <c r="I163" s="2"/>
      <c r="J163" s="1"/>
    </row>
    <row r="164" spans="1:10" customFormat="1" ht="16.5" x14ac:dyDescent="0.3">
      <c r="A164" s="2"/>
      <c r="B164" s="2"/>
      <c r="C164" s="3" t="str">
        <f ca="1">IF(F164="","","B")</f>
        <v/>
      </c>
      <c r="D164" s="40" t="str">
        <f t="shared" ref="D164:D166" ca="1" si="34">IF(F164="","","ploeg")</f>
        <v/>
      </c>
      <c r="E164" s="40"/>
      <c r="F164" s="3" t="str">
        <f ca="1">IF(SUMIF(tbl_ploegen,A163,Uitslagen_B)&gt;0,SUMIF(tbl_ploegen,A163,Uitslagen_B),"")</f>
        <v/>
      </c>
      <c r="G164" s="8" t="str">
        <f t="shared" ref="G164:G166" ca="1" si="35">IF(F164="","","/30")</f>
        <v/>
      </c>
      <c r="H164" s="6" t="str">
        <f t="shared" ca="1" si="33"/>
        <v/>
      </c>
      <c r="I164" s="5"/>
      <c r="J164" s="1"/>
    </row>
    <row r="165" spans="1:10" customFormat="1" ht="15.75" x14ac:dyDescent="0.25">
      <c r="A165" s="2"/>
      <c r="B165" s="2"/>
      <c r="C165" s="3" t="str">
        <f ca="1">IF(F165="","","C")</f>
        <v/>
      </c>
      <c r="D165" s="40" t="str">
        <f t="shared" ca="1" si="34"/>
        <v/>
      </c>
      <c r="E165" s="40"/>
      <c r="F165" s="3" t="str">
        <f ca="1">IF(SUMIF(tbl_ploegen,A163,Uitslagen_C)&gt;0,SUMIF(tbl_ploegen,A163,Uitslagen_C),"")</f>
        <v/>
      </c>
      <c r="G165" s="8" t="str">
        <f t="shared" ca="1" si="35"/>
        <v/>
      </c>
      <c r="H165" s="6" t="str">
        <f t="shared" ca="1" si="33"/>
        <v/>
      </c>
      <c r="I165" s="5"/>
      <c r="J165" s="196"/>
    </row>
    <row r="166" spans="1:10" customFormat="1" ht="16.5" x14ac:dyDescent="0.3">
      <c r="A166" s="2"/>
      <c r="B166" s="2"/>
      <c r="C166" s="3" t="str">
        <f ca="1">IF(F166="","","D")</f>
        <v/>
      </c>
      <c r="D166" s="40" t="str">
        <f t="shared" ca="1" si="34"/>
        <v/>
      </c>
      <c r="E166" s="40"/>
      <c r="F166" s="3" t="str">
        <f ca="1">IF(SUMIF(tbl_ploegen,A163,Uitslagen_D)&gt;0,SUMIF(tbl_ploegen,A163,Uitslagen_D),"")</f>
        <v/>
      </c>
      <c r="G166" s="8" t="str">
        <f t="shared" ca="1" si="35"/>
        <v/>
      </c>
      <c r="H166" s="6" t="str">
        <f t="shared" ca="1" si="33"/>
        <v/>
      </c>
      <c r="I166" s="7" t="s">
        <v>72</v>
      </c>
      <c r="J166" s="1"/>
    </row>
    <row r="167" spans="1:10" customFormat="1" ht="16.5" x14ac:dyDescent="0.3">
      <c r="A167" s="2"/>
      <c r="B167" s="2"/>
      <c r="C167" s="3" t="str">
        <f ca="1">IF(F167="","","E")</f>
        <v/>
      </c>
      <c r="D167" s="329" t="str">
        <f ca="1">IF(F167="","","ploeg")</f>
        <v/>
      </c>
      <c r="E167" s="329"/>
      <c r="F167" s="3" t="str">
        <f ca="1">IF(SUMIF(tbl_ploegen,A163,Uitslagen_E)&gt;0,SUMIF(tbl_ploegen,A163,Uitslagen_E),"")</f>
        <v/>
      </c>
      <c r="G167" s="8" t="str">
        <f ca="1">IF(F167="","","/30")</f>
        <v/>
      </c>
      <c r="H167" s="6" t="str">
        <f t="shared" ca="1" si="33"/>
        <v/>
      </c>
      <c r="I167" s="9">
        <f ca="1">SUM(H163:H168)</f>
        <v>0</v>
      </c>
      <c r="J167" s="1"/>
    </row>
    <row r="168" spans="1:10" customFormat="1" ht="16.5" x14ac:dyDescent="0.3">
      <c r="A168" s="2"/>
      <c r="B168" s="2"/>
      <c r="C168" s="3" t="str">
        <f ca="1">IF(F168="","","F")</f>
        <v>F</v>
      </c>
      <c r="D168" s="329" t="str">
        <f ca="1">IF(F168="","","ploeg")</f>
        <v>ploeg</v>
      </c>
      <c r="E168" s="329"/>
      <c r="F168" s="3">
        <f ca="1">IF(SUMIF(tbl_ploegen,A163,Uitslagen_F)&gt;0,SUMIF(tbl_ploegen,A163,Uitslagen_F),"")</f>
        <v>46174</v>
      </c>
      <c r="G168" s="8" t="str">
        <f ca="1">IF(F168="","","/30")</f>
        <v>/30</v>
      </c>
      <c r="H168" s="6">
        <f t="shared" ca="1" si="33"/>
        <v>0</v>
      </c>
      <c r="I168" s="196"/>
      <c r="J168" s="1"/>
    </row>
    <row r="169" spans="1:10" customFormat="1" ht="16.5" x14ac:dyDescent="0.3">
      <c r="A169" s="209"/>
      <c r="B169" s="209"/>
      <c r="C169" s="209"/>
      <c r="D169" s="210"/>
      <c r="E169" s="210"/>
      <c r="F169" s="210"/>
      <c r="G169" s="210"/>
      <c r="H169" s="211" t="str">
        <f>Ploegen!$C$1</f>
        <v>VRIENDENSCHIETING - LAREN</v>
      </c>
      <c r="I169" s="212">
        <f>Ploegen!$H$1</f>
        <v>46172</v>
      </c>
      <c r="J169" s="209"/>
    </row>
    <row r="170" spans="1:10" customFormat="1" ht="15.75" x14ac:dyDescent="0.25">
      <c r="A170" s="225"/>
      <c r="B170" s="225"/>
      <c r="C170" s="225"/>
      <c r="D170" s="225"/>
      <c r="E170" s="225"/>
      <c r="F170" s="225"/>
      <c r="G170" s="225"/>
      <c r="H170" s="211"/>
      <c r="I170" s="212"/>
      <c r="J170" s="213"/>
    </row>
    <row r="171" spans="1:10" customFormat="1" ht="16.5" x14ac:dyDescent="0.3">
      <c r="A171" s="214">
        <f>aantal_ploegen</f>
        <v>0</v>
      </c>
      <c r="B171" s="214" t="s">
        <v>69</v>
      </c>
      <c r="C171" s="215">
        <f>Aantal_30</f>
        <v>0</v>
      </c>
      <c r="D171" s="215">
        <v>30</v>
      </c>
      <c r="E171" s="216" t="s">
        <v>70</v>
      </c>
      <c r="F171" s="217">
        <f>Bedrag_per_ploeg_30</f>
        <v>0</v>
      </c>
      <c r="G171" s="225"/>
      <c r="H171" s="218"/>
      <c r="I171" s="209"/>
      <c r="J171" s="209"/>
    </row>
    <row r="172" spans="1:10" customFormat="1" ht="16.5" x14ac:dyDescent="0.3">
      <c r="A172" s="214"/>
      <c r="B172" s="214"/>
      <c r="C172" s="215">
        <f>Aantal_29</f>
        <v>0</v>
      </c>
      <c r="D172" s="215">
        <v>29</v>
      </c>
      <c r="E172" s="216" t="s">
        <v>70</v>
      </c>
      <c r="F172" s="217">
        <f>Bedrag_per_ploeg_29</f>
        <v>0</v>
      </c>
      <c r="G172" s="225"/>
      <c r="H172" s="218"/>
      <c r="I172" s="209"/>
      <c r="J172" s="209"/>
    </row>
    <row r="173" spans="1:10" customFormat="1" ht="16.5" x14ac:dyDescent="0.3">
      <c r="A173" s="214"/>
      <c r="B173" s="214"/>
      <c r="C173" s="215">
        <f>Aantal_28</f>
        <v>0</v>
      </c>
      <c r="D173" s="215">
        <v>28</v>
      </c>
      <c r="E173" s="216" t="s">
        <v>70</v>
      </c>
      <c r="F173" s="217">
        <f>Bedrag_per_ploeg_28</f>
        <v>0</v>
      </c>
      <c r="G173" s="217"/>
      <c r="H173" s="219"/>
      <c r="I173" s="209"/>
      <c r="J173" s="209"/>
    </row>
    <row r="174" spans="1:10" customFormat="1" ht="16.5" x14ac:dyDescent="0.3">
      <c r="A174" s="214"/>
      <c r="B174" s="214"/>
      <c r="C174" s="215" t="str">
        <f>IF(Bedrag_per_ploeg_27&gt;0,Aantal_27,"")</f>
        <v/>
      </c>
      <c r="D174" s="215" t="str">
        <f>IF(Bedrag_per_ploeg_27&gt;0,27,"")</f>
        <v/>
      </c>
      <c r="E174" s="216" t="str">
        <f>IF(Bedrag_per_ploeg_27&gt;0,"/30","")</f>
        <v/>
      </c>
      <c r="F174" s="217" t="str">
        <f>IF(Bedrag_per_ploeg_27&gt;0,Bedrag_per_ploeg_27,"")</f>
        <v/>
      </c>
      <c r="G174" s="217"/>
      <c r="H174" s="219"/>
      <c r="I174" s="214"/>
      <c r="J174" s="209"/>
    </row>
    <row r="175" spans="1:10" customFormat="1" ht="16.5" x14ac:dyDescent="0.3">
      <c r="A175" s="225"/>
      <c r="B175" s="225"/>
      <c r="C175" s="215" t="str">
        <f>IF(Bedrag_per_ploeg_26&gt;0,Aantal_26,"")</f>
        <v/>
      </c>
      <c r="D175" s="215" t="str">
        <f>IF(Bedrag_per_ploeg_26&gt;0,26,"")</f>
        <v/>
      </c>
      <c r="E175" s="216" t="str">
        <f>IF(Bedrag_per_ploeg_26&gt;0,"/30","")</f>
        <v/>
      </c>
      <c r="F175" s="217" t="str">
        <f>IF(Bedrag_per_ploeg_26&gt;0,Bedrag_per_ploeg_26,"")</f>
        <v/>
      </c>
      <c r="G175" s="217"/>
      <c r="H175" s="214"/>
      <c r="I175" s="214"/>
      <c r="J175" s="209"/>
    </row>
    <row r="176" spans="1:10" customFormat="1" ht="16.5" x14ac:dyDescent="0.3">
      <c r="A176" s="225"/>
      <c r="B176" s="225"/>
      <c r="C176" s="215" t="str">
        <f>IF(Bedrag_per_ploeg_25&gt;0,Aantal_25,"")</f>
        <v/>
      </c>
      <c r="D176" s="215" t="str">
        <f>IF(Bedrag_per_ploeg_25&gt;0,25,"")</f>
        <v/>
      </c>
      <c r="E176" s="216" t="str">
        <f>IF(Bedrag_per_ploeg_25&gt;0,"/30","")</f>
        <v/>
      </c>
      <c r="F176" s="217" t="str">
        <f>IF(Bedrag_per_ploeg_25&gt;0,Bedrag_per_ploeg_25,"")</f>
        <v/>
      </c>
      <c r="G176" s="217"/>
      <c r="H176" s="219"/>
      <c r="I176" s="214"/>
      <c r="J176" s="209"/>
    </row>
    <row r="177" spans="1:10" customFormat="1" ht="16.5" x14ac:dyDescent="0.3">
      <c r="A177" s="220" t="str" cm="1">
        <f t="array" aca="1" ref="A177" ca="1">IFERROR(
  INDEX(tbl_ploegen,SMALL(Ploegen!$AG$3:$AG$27,ROW(INDIRECT("A"&amp;(ROW()-9)/14+1)))-2,1),
  ""
)</f>
        <v/>
      </c>
      <c r="B177" s="220"/>
      <c r="C177" s="215" t="str">
        <f ca="1">IF(F177="","","A")</f>
        <v>A</v>
      </c>
      <c r="D177" s="213" t="s">
        <v>71</v>
      </c>
      <c r="E177" s="213"/>
      <c r="F177" s="215">
        <f ca="1">SUMIF(tbl_ploegen,A177,Uitslagen_A)</f>
        <v>0</v>
      </c>
      <c r="G177" s="216" t="s">
        <v>70</v>
      </c>
      <c r="H177" s="221">
        <f t="shared" ref="H177:H182" ca="1" si="36">IF(F177="","",IF(ISNA(VLOOKUP(F177,tbl_prijzen,13,FALSE)),0,VLOOKUP(F177,tbl_prijzen,13,FALSE)))</f>
        <v>0</v>
      </c>
      <c r="I177" s="214"/>
      <c r="J177" s="209"/>
    </row>
    <row r="178" spans="1:10" customFormat="1" ht="16.5" x14ac:dyDescent="0.3">
      <c r="A178" s="214"/>
      <c r="B178" s="214"/>
      <c r="C178" s="215" t="str">
        <f ca="1">IF(F178="","","B")</f>
        <v/>
      </c>
      <c r="D178" s="213" t="str">
        <f t="shared" ref="D178:D180" ca="1" si="37">IF(F178="","","ploeg")</f>
        <v/>
      </c>
      <c r="E178" s="213"/>
      <c r="F178" s="215" t="str">
        <f ca="1">IF(SUMIF(tbl_ploegen,A177,Uitslagen_B)&gt;0,SUMIF(tbl_ploegen,A177,Uitslagen_B),"")</f>
        <v/>
      </c>
      <c r="G178" s="222" t="str">
        <f t="shared" ref="G178:G180" ca="1" si="38">IF(F178="","","/30")</f>
        <v/>
      </c>
      <c r="H178" s="221" t="str">
        <f t="shared" ca="1" si="36"/>
        <v/>
      </c>
      <c r="I178" s="219"/>
      <c r="J178" s="209"/>
    </row>
    <row r="179" spans="1:10" customFormat="1" ht="15.75" x14ac:dyDescent="0.25">
      <c r="A179" s="214"/>
      <c r="B179" s="214"/>
      <c r="C179" s="215" t="str">
        <f ca="1">IF(F179="","","C")</f>
        <v/>
      </c>
      <c r="D179" s="213" t="str">
        <f t="shared" ca="1" si="37"/>
        <v/>
      </c>
      <c r="E179" s="213"/>
      <c r="F179" s="215" t="str">
        <f ca="1">IF(SUMIF(tbl_ploegen,A177,Uitslagen_C)&gt;0,SUMIF(tbl_ploegen,A177,Uitslagen_C),"")</f>
        <v/>
      </c>
      <c r="G179" s="222" t="str">
        <f t="shared" ca="1" si="38"/>
        <v/>
      </c>
      <c r="H179" s="221" t="str">
        <f t="shared" ca="1" si="36"/>
        <v/>
      </c>
      <c r="I179" s="219"/>
      <c r="J179" s="225"/>
    </row>
    <row r="180" spans="1:10" customFormat="1" ht="16.5" x14ac:dyDescent="0.3">
      <c r="A180" s="214"/>
      <c r="B180" s="214"/>
      <c r="C180" s="215" t="str">
        <f ca="1">IF(F180="","","D")</f>
        <v/>
      </c>
      <c r="D180" s="213" t="str">
        <f t="shared" ca="1" si="37"/>
        <v/>
      </c>
      <c r="E180" s="213"/>
      <c r="F180" s="215" t="str">
        <f ca="1">IF(SUMIF(tbl_ploegen,A177,Uitslagen_D)&gt;0,SUMIF(tbl_ploegen,A177,Uitslagen_D),"")</f>
        <v/>
      </c>
      <c r="G180" s="222" t="str">
        <f t="shared" ca="1" si="38"/>
        <v/>
      </c>
      <c r="H180" s="221" t="str">
        <f t="shared" ca="1" si="36"/>
        <v/>
      </c>
      <c r="I180" s="223" t="s">
        <v>72</v>
      </c>
      <c r="J180" s="209"/>
    </row>
    <row r="181" spans="1:10" customFormat="1" ht="16.5" x14ac:dyDescent="0.3">
      <c r="A181" s="214"/>
      <c r="B181" s="214"/>
      <c r="C181" s="215" t="str">
        <f ca="1">IF(F181="","","E")</f>
        <v/>
      </c>
      <c r="D181" s="330" t="str">
        <f ca="1">IF(F181="","","ploeg")</f>
        <v/>
      </c>
      <c r="E181" s="330"/>
      <c r="F181" s="215" t="str">
        <f ca="1">IF(SUMIF(tbl_ploegen,A177,Uitslagen_E)&gt;0,SUMIF(tbl_ploegen,A177,Uitslagen_E),"")</f>
        <v/>
      </c>
      <c r="G181" s="222" t="str">
        <f ca="1">IF(F181="","","/30")</f>
        <v/>
      </c>
      <c r="H181" s="221" t="str">
        <f t="shared" ca="1" si="36"/>
        <v/>
      </c>
      <c r="I181" s="224">
        <f ca="1">SUM(H177:H182)</f>
        <v>0</v>
      </c>
      <c r="J181" s="209"/>
    </row>
    <row r="182" spans="1:10" customFormat="1" ht="16.5" x14ac:dyDescent="0.3">
      <c r="A182" s="214"/>
      <c r="B182" s="214"/>
      <c r="C182" s="215" t="str">
        <f ca="1">IF(F182="","","F")</f>
        <v>F</v>
      </c>
      <c r="D182" s="330" t="str">
        <f ca="1">IF(F182="","","ploeg")</f>
        <v>ploeg</v>
      </c>
      <c r="E182" s="330"/>
      <c r="F182" s="215">
        <f ca="1">IF(SUMIF(tbl_ploegen,A177,Uitslagen_F)&gt;0,SUMIF(tbl_ploegen,A177,Uitslagen_F),"")</f>
        <v>46174</v>
      </c>
      <c r="G182" s="222" t="str">
        <f ca="1">IF(F182="","","/30")</f>
        <v>/30</v>
      </c>
      <c r="H182" s="221">
        <f t="shared" ca="1" si="36"/>
        <v>0</v>
      </c>
      <c r="I182" s="225"/>
      <c r="J182" s="209"/>
    </row>
    <row r="183" spans="1:10" customFormat="1" ht="16.5" x14ac:dyDescent="0.3">
      <c r="A183" s="209"/>
      <c r="B183" s="209"/>
      <c r="C183" s="209"/>
      <c r="D183" s="210"/>
      <c r="E183" s="210"/>
      <c r="F183" s="210"/>
      <c r="G183" s="210"/>
      <c r="H183" s="211" t="str">
        <f>Ploegen!$C$1</f>
        <v>VRIENDENSCHIETING - LAREN</v>
      </c>
      <c r="I183" s="212">
        <f>Ploegen!$H$1</f>
        <v>46172</v>
      </c>
      <c r="J183" s="209"/>
    </row>
    <row r="184" spans="1:10" customFormat="1" ht="15.75" x14ac:dyDescent="0.25">
      <c r="A184" s="225"/>
      <c r="B184" s="225"/>
      <c r="C184" s="225"/>
      <c r="D184" s="225"/>
      <c r="E184" s="225"/>
      <c r="F184" s="225"/>
      <c r="G184" s="225"/>
      <c r="H184" s="211"/>
      <c r="I184" s="212"/>
      <c r="J184" s="213"/>
    </row>
    <row r="185" spans="1:10" customFormat="1" ht="16.5" x14ac:dyDescent="0.3">
      <c r="A185" s="214">
        <f>aantal_ploegen</f>
        <v>0</v>
      </c>
      <c r="B185" s="214" t="s">
        <v>69</v>
      </c>
      <c r="C185" s="215">
        <f>Aantal_30</f>
        <v>0</v>
      </c>
      <c r="D185" s="215">
        <v>30</v>
      </c>
      <c r="E185" s="216" t="s">
        <v>70</v>
      </c>
      <c r="F185" s="217">
        <f>Bedrag_per_ploeg_30</f>
        <v>0</v>
      </c>
      <c r="G185" s="225"/>
      <c r="H185" s="218"/>
      <c r="I185" s="209"/>
      <c r="J185" s="209"/>
    </row>
    <row r="186" spans="1:10" customFormat="1" ht="16.5" x14ac:dyDescent="0.3">
      <c r="A186" s="214"/>
      <c r="B186" s="214"/>
      <c r="C186" s="215">
        <f>Aantal_29</f>
        <v>0</v>
      </c>
      <c r="D186" s="215">
        <v>29</v>
      </c>
      <c r="E186" s="216" t="s">
        <v>70</v>
      </c>
      <c r="F186" s="217">
        <f>Bedrag_per_ploeg_29</f>
        <v>0</v>
      </c>
      <c r="G186" s="225"/>
      <c r="H186" s="218"/>
      <c r="I186" s="209"/>
      <c r="J186" s="209"/>
    </row>
    <row r="187" spans="1:10" customFormat="1" ht="16.5" x14ac:dyDescent="0.3">
      <c r="A187" s="214"/>
      <c r="B187" s="214"/>
      <c r="C187" s="215">
        <f>Aantal_28</f>
        <v>0</v>
      </c>
      <c r="D187" s="215">
        <v>28</v>
      </c>
      <c r="E187" s="216" t="s">
        <v>70</v>
      </c>
      <c r="F187" s="217">
        <f>Bedrag_per_ploeg_28</f>
        <v>0</v>
      </c>
      <c r="G187" s="217"/>
      <c r="H187" s="219"/>
      <c r="I187" s="209"/>
      <c r="J187" s="209"/>
    </row>
    <row r="188" spans="1:10" customFormat="1" ht="16.5" x14ac:dyDescent="0.3">
      <c r="A188" s="214"/>
      <c r="B188" s="214"/>
      <c r="C188" s="215" t="str">
        <f>IF(Bedrag_per_ploeg_27&gt;0,Aantal_27,"")</f>
        <v/>
      </c>
      <c r="D188" s="215" t="str">
        <f>IF(Bedrag_per_ploeg_27&gt;0,27,"")</f>
        <v/>
      </c>
      <c r="E188" s="216" t="str">
        <f>IF(Bedrag_per_ploeg_27&gt;0,"/30","")</f>
        <v/>
      </c>
      <c r="F188" s="217" t="str">
        <f>IF(Bedrag_per_ploeg_27&gt;0,Bedrag_per_ploeg_27,"")</f>
        <v/>
      </c>
      <c r="G188" s="217"/>
      <c r="H188" s="219"/>
      <c r="I188" s="214"/>
      <c r="J188" s="209"/>
    </row>
    <row r="189" spans="1:10" customFormat="1" ht="16.5" x14ac:dyDescent="0.3">
      <c r="A189" s="225"/>
      <c r="B189" s="225"/>
      <c r="C189" s="215" t="str">
        <f>IF(Bedrag_per_ploeg_26&gt;0,Aantal_26,"")</f>
        <v/>
      </c>
      <c r="D189" s="215" t="str">
        <f>IF(Bedrag_per_ploeg_26&gt;0,26,"")</f>
        <v/>
      </c>
      <c r="E189" s="216" t="str">
        <f>IF(Bedrag_per_ploeg_26&gt;0,"/30","")</f>
        <v/>
      </c>
      <c r="F189" s="217" t="str">
        <f>IF(Bedrag_per_ploeg_26&gt;0,Bedrag_per_ploeg_26,"")</f>
        <v/>
      </c>
      <c r="G189" s="217"/>
      <c r="H189" s="214"/>
      <c r="I189" s="214"/>
      <c r="J189" s="209"/>
    </row>
    <row r="190" spans="1:10" customFormat="1" ht="16.5" x14ac:dyDescent="0.3">
      <c r="A190" s="225"/>
      <c r="B190" s="225"/>
      <c r="C190" s="215" t="str">
        <f>IF(Bedrag_per_ploeg_25&gt;0,Aantal_25,"")</f>
        <v/>
      </c>
      <c r="D190" s="215" t="str">
        <f>IF(Bedrag_per_ploeg_25&gt;0,25,"")</f>
        <v/>
      </c>
      <c r="E190" s="216" t="str">
        <f>IF(Bedrag_per_ploeg_25&gt;0,"/30","")</f>
        <v/>
      </c>
      <c r="F190" s="217" t="str">
        <f>IF(Bedrag_per_ploeg_25&gt;0,Bedrag_per_ploeg_25,"")</f>
        <v/>
      </c>
      <c r="G190" s="217"/>
      <c r="H190" s="219"/>
      <c r="I190" s="214"/>
      <c r="J190" s="209"/>
    </row>
    <row r="191" spans="1:10" customFormat="1" ht="16.5" x14ac:dyDescent="0.3">
      <c r="A191" s="220" t="str" cm="1">
        <f t="array" aca="1" ref="A191" ca="1">IFERROR(
  INDEX(tbl_ploegen,SMALL(Ploegen!$AG$3:$AG$27,ROW(INDIRECT("A"&amp;(ROW()-9)/14+1)))-2,1),
  ""
)</f>
        <v/>
      </c>
      <c r="B191" s="220"/>
      <c r="C191" s="215" t="str">
        <f ca="1">IF(F191="","","A")</f>
        <v>A</v>
      </c>
      <c r="D191" s="213" t="s">
        <v>71</v>
      </c>
      <c r="E191" s="213"/>
      <c r="F191" s="215">
        <f ca="1">SUMIF(tbl_ploegen,A191,Uitslagen_A)</f>
        <v>0</v>
      </c>
      <c r="G191" s="216" t="s">
        <v>70</v>
      </c>
      <c r="H191" s="221">
        <f t="shared" ref="H191:H196" ca="1" si="39">IF(F191="","",IF(ISNA(VLOOKUP(F191,tbl_prijzen,13,FALSE)),0,VLOOKUP(F191,tbl_prijzen,13,FALSE)))</f>
        <v>0</v>
      </c>
      <c r="I191" s="214"/>
      <c r="J191" s="209"/>
    </row>
    <row r="192" spans="1:10" customFormat="1" ht="16.5" x14ac:dyDescent="0.3">
      <c r="A192" s="214"/>
      <c r="B192" s="214"/>
      <c r="C192" s="215" t="str">
        <f ca="1">IF(F192="","","B")</f>
        <v/>
      </c>
      <c r="D192" s="213" t="str">
        <f t="shared" ref="D192:D194" ca="1" si="40">IF(F192="","","ploeg")</f>
        <v/>
      </c>
      <c r="E192" s="213"/>
      <c r="F192" s="215" t="str">
        <f ca="1">IF(SUMIF(tbl_ploegen,A191,Uitslagen_B)&gt;0,SUMIF(tbl_ploegen,A191,Uitslagen_B),"")</f>
        <v/>
      </c>
      <c r="G192" s="222" t="str">
        <f t="shared" ref="G192:G194" ca="1" si="41">IF(F192="","","/30")</f>
        <v/>
      </c>
      <c r="H192" s="221" t="str">
        <f t="shared" ca="1" si="39"/>
        <v/>
      </c>
      <c r="I192" s="219"/>
      <c r="J192" s="209"/>
    </row>
    <row r="193" spans="1:10" customFormat="1" ht="15.75" x14ac:dyDescent="0.25">
      <c r="A193" s="214"/>
      <c r="B193" s="214"/>
      <c r="C193" s="215" t="str">
        <f ca="1">IF(F193="","","C")</f>
        <v/>
      </c>
      <c r="D193" s="213" t="str">
        <f t="shared" ca="1" si="40"/>
        <v/>
      </c>
      <c r="E193" s="213"/>
      <c r="F193" s="215" t="str">
        <f ca="1">IF(SUMIF(tbl_ploegen,A191,Uitslagen_C)&gt;0,SUMIF(tbl_ploegen,A191,Uitslagen_C),"")</f>
        <v/>
      </c>
      <c r="G193" s="222" t="str">
        <f t="shared" ca="1" si="41"/>
        <v/>
      </c>
      <c r="H193" s="221" t="str">
        <f t="shared" ca="1" si="39"/>
        <v/>
      </c>
      <c r="I193" s="219"/>
      <c r="J193" s="225"/>
    </row>
    <row r="194" spans="1:10" customFormat="1" ht="16.5" x14ac:dyDescent="0.3">
      <c r="A194" s="214"/>
      <c r="B194" s="214"/>
      <c r="C194" s="215" t="str">
        <f ca="1">IF(F194="","","D")</f>
        <v/>
      </c>
      <c r="D194" s="213" t="str">
        <f t="shared" ca="1" si="40"/>
        <v/>
      </c>
      <c r="E194" s="213"/>
      <c r="F194" s="215" t="str">
        <f ca="1">IF(SUMIF(tbl_ploegen,A191,Uitslagen_D)&gt;0,SUMIF(tbl_ploegen,A191,Uitslagen_D),"")</f>
        <v/>
      </c>
      <c r="G194" s="222" t="str">
        <f t="shared" ca="1" si="41"/>
        <v/>
      </c>
      <c r="H194" s="221" t="str">
        <f t="shared" ca="1" si="39"/>
        <v/>
      </c>
      <c r="I194" s="223" t="s">
        <v>72</v>
      </c>
      <c r="J194" s="209"/>
    </row>
    <row r="195" spans="1:10" customFormat="1" ht="16.5" x14ac:dyDescent="0.3">
      <c r="A195" s="214"/>
      <c r="B195" s="214"/>
      <c r="C195" s="215" t="str">
        <f ca="1">IF(F195="","","E")</f>
        <v/>
      </c>
      <c r="D195" s="330" t="str">
        <f ca="1">IF(F195="","","ploeg")</f>
        <v/>
      </c>
      <c r="E195" s="330"/>
      <c r="F195" s="215" t="str">
        <f ca="1">IF(SUMIF(tbl_ploegen,A191,Uitslagen_E)&gt;0,SUMIF(tbl_ploegen,A191,Uitslagen_E),"")</f>
        <v/>
      </c>
      <c r="G195" s="222" t="str">
        <f ca="1">IF(F195="","","/30")</f>
        <v/>
      </c>
      <c r="H195" s="221" t="str">
        <f t="shared" ca="1" si="39"/>
        <v/>
      </c>
      <c r="I195" s="224">
        <f ca="1">SUM(H191:H196)</f>
        <v>0</v>
      </c>
      <c r="J195" s="209"/>
    </row>
    <row r="196" spans="1:10" customFormat="1" ht="16.5" x14ac:dyDescent="0.3">
      <c r="A196" s="214"/>
      <c r="B196" s="214"/>
      <c r="C196" s="215" t="str">
        <f ca="1">IF(F196="","","F")</f>
        <v>F</v>
      </c>
      <c r="D196" s="330" t="str">
        <f ca="1">IF(F196="","","ploeg")</f>
        <v>ploeg</v>
      </c>
      <c r="E196" s="330"/>
      <c r="F196" s="215">
        <f ca="1">IF(SUMIF(tbl_ploegen,A191,Uitslagen_F)&gt;0,SUMIF(tbl_ploegen,A191,Uitslagen_F),"")</f>
        <v>46174</v>
      </c>
      <c r="G196" s="222" t="str">
        <f ca="1">IF(F196="","","/30")</f>
        <v>/30</v>
      </c>
      <c r="H196" s="221">
        <f t="shared" ca="1" si="39"/>
        <v>0</v>
      </c>
      <c r="I196" s="225"/>
      <c r="J196" s="209"/>
    </row>
    <row r="197" spans="1:10" customFormat="1" ht="16.5" x14ac:dyDescent="0.3">
      <c r="A197" s="209"/>
      <c r="B197" s="209"/>
      <c r="C197" s="209"/>
      <c r="D197" s="210"/>
      <c r="E197" s="210"/>
      <c r="F197" s="210"/>
      <c r="G197" s="210"/>
      <c r="H197" s="211" t="str">
        <f>Ploegen!$C$1</f>
        <v>VRIENDENSCHIETING - LAREN</v>
      </c>
      <c r="I197" s="212">
        <f>Ploegen!$H$1</f>
        <v>46172</v>
      </c>
      <c r="J197" s="209"/>
    </row>
    <row r="198" spans="1:10" customFormat="1" ht="15.75" x14ac:dyDescent="0.25">
      <c r="A198" s="225"/>
      <c r="B198" s="225"/>
      <c r="C198" s="225"/>
      <c r="D198" s="225"/>
      <c r="E198" s="225"/>
      <c r="F198" s="225"/>
      <c r="G198" s="225"/>
      <c r="H198" s="211"/>
      <c r="I198" s="212"/>
      <c r="J198" s="213"/>
    </row>
    <row r="199" spans="1:10" customFormat="1" ht="16.5" x14ac:dyDescent="0.3">
      <c r="A199" s="214">
        <f>aantal_ploegen</f>
        <v>0</v>
      </c>
      <c r="B199" s="214" t="s">
        <v>69</v>
      </c>
      <c r="C199" s="215">
        <f>Aantal_30</f>
        <v>0</v>
      </c>
      <c r="D199" s="215">
        <v>30</v>
      </c>
      <c r="E199" s="216" t="s">
        <v>70</v>
      </c>
      <c r="F199" s="217">
        <f>Bedrag_per_ploeg_30</f>
        <v>0</v>
      </c>
      <c r="G199" s="225"/>
      <c r="H199" s="218"/>
      <c r="I199" s="209"/>
      <c r="J199" s="209"/>
    </row>
    <row r="200" spans="1:10" customFormat="1" ht="16.5" x14ac:dyDescent="0.3">
      <c r="A200" s="214"/>
      <c r="B200" s="214"/>
      <c r="C200" s="215">
        <f>Aantal_29</f>
        <v>0</v>
      </c>
      <c r="D200" s="215">
        <v>29</v>
      </c>
      <c r="E200" s="216" t="s">
        <v>70</v>
      </c>
      <c r="F200" s="217">
        <f>Bedrag_per_ploeg_29</f>
        <v>0</v>
      </c>
      <c r="G200" s="225"/>
      <c r="H200" s="218"/>
      <c r="I200" s="209"/>
      <c r="J200" s="209"/>
    </row>
    <row r="201" spans="1:10" customFormat="1" ht="16.5" x14ac:dyDescent="0.3">
      <c r="A201" s="214"/>
      <c r="B201" s="214"/>
      <c r="C201" s="215">
        <f>Aantal_28</f>
        <v>0</v>
      </c>
      <c r="D201" s="215">
        <v>28</v>
      </c>
      <c r="E201" s="216" t="s">
        <v>70</v>
      </c>
      <c r="F201" s="217">
        <f>Bedrag_per_ploeg_28</f>
        <v>0</v>
      </c>
      <c r="G201" s="217"/>
      <c r="H201" s="219"/>
      <c r="I201" s="209"/>
      <c r="J201" s="209"/>
    </row>
    <row r="202" spans="1:10" customFormat="1" ht="16.5" x14ac:dyDescent="0.3">
      <c r="A202" s="214"/>
      <c r="B202" s="214"/>
      <c r="C202" s="215" t="str">
        <f>IF(Bedrag_per_ploeg_27&gt;0,Aantal_27,"")</f>
        <v/>
      </c>
      <c r="D202" s="215" t="str">
        <f>IF(Bedrag_per_ploeg_27&gt;0,27,"")</f>
        <v/>
      </c>
      <c r="E202" s="216" t="str">
        <f>IF(Bedrag_per_ploeg_27&gt;0,"/30","")</f>
        <v/>
      </c>
      <c r="F202" s="217" t="str">
        <f>IF(Bedrag_per_ploeg_27&gt;0,Bedrag_per_ploeg_27,"")</f>
        <v/>
      </c>
      <c r="G202" s="217"/>
      <c r="H202" s="219"/>
      <c r="I202" s="214"/>
      <c r="J202" s="209"/>
    </row>
    <row r="203" spans="1:10" customFormat="1" ht="16.5" x14ac:dyDescent="0.3">
      <c r="A203" s="225"/>
      <c r="B203" s="225"/>
      <c r="C203" s="215" t="str">
        <f>IF(Bedrag_per_ploeg_26&gt;0,Aantal_26,"")</f>
        <v/>
      </c>
      <c r="D203" s="215" t="str">
        <f>IF(Bedrag_per_ploeg_26&gt;0,26,"")</f>
        <v/>
      </c>
      <c r="E203" s="216" t="str">
        <f>IF(Bedrag_per_ploeg_26&gt;0,"/30","")</f>
        <v/>
      </c>
      <c r="F203" s="217" t="str">
        <f>IF(Bedrag_per_ploeg_26&gt;0,Bedrag_per_ploeg_26,"")</f>
        <v/>
      </c>
      <c r="G203" s="217"/>
      <c r="H203" s="214"/>
      <c r="I203" s="214"/>
      <c r="J203" s="209"/>
    </row>
    <row r="204" spans="1:10" customFormat="1" ht="16.5" x14ac:dyDescent="0.3">
      <c r="A204" s="225"/>
      <c r="B204" s="225"/>
      <c r="C204" s="215" t="str">
        <f>IF(Bedrag_per_ploeg_25&gt;0,Aantal_25,"")</f>
        <v/>
      </c>
      <c r="D204" s="215" t="str">
        <f>IF(Bedrag_per_ploeg_25&gt;0,25,"")</f>
        <v/>
      </c>
      <c r="E204" s="216" t="str">
        <f>IF(Bedrag_per_ploeg_25&gt;0,"/30","")</f>
        <v/>
      </c>
      <c r="F204" s="217" t="str">
        <f>IF(Bedrag_per_ploeg_25&gt;0,Bedrag_per_ploeg_25,"")</f>
        <v/>
      </c>
      <c r="G204" s="217"/>
      <c r="H204" s="219"/>
      <c r="I204" s="214"/>
      <c r="J204" s="209"/>
    </row>
    <row r="205" spans="1:10" customFormat="1" ht="16.5" x14ac:dyDescent="0.3">
      <c r="A205" s="220" t="str" cm="1">
        <f t="array" aca="1" ref="A205" ca="1">IFERROR(
  INDEX(tbl_ploegen,SMALL(Ploegen!$AG$3:$AG$27,ROW(INDIRECT("A"&amp;(ROW()-9)/14+1)))-2,1),
  ""
)</f>
        <v/>
      </c>
      <c r="B205" s="220"/>
      <c r="C205" s="215" t="str">
        <f ca="1">IF(F205="","","A")</f>
        <v>A</v>
      </c>
      <c r="D205" s="213" t="s">
        <v>71</v>
      </c>
      <c r="E205" s="213"/>
      <c r="F205" s="215">
        <f ca="1">SUMIF(tbl_ploegen,A205,Uitslagen_A)</f>
        <v>0</v>
      </c>
      <c r="G205" s="216" t="s">
        <v>70</v>
      </c>
      <c r="H205" s="221">
        <f t="shared" ref="H205:H210" ca="1" si="42">IF(F205="","",IF(ISNA(VLOOKUP(F205,tbl_prijzen,13,FALSE)),0,VLOOKUP(F205,tbl_prijzen,13,FALSE)))</f>
        <v>0</v>
      </c>
      <c r="I205" s="214"/>
      <c r="J205" s="209"/>
    </row>
    <row r="206" spans="1:10" customFormat="1" ht="16.5" x14ac:dyDescent="0.3">
      <c r="A206" s="214"/>
      <c r="B206" s="214"/>
      <c r="C206" s="215" t="str">
        <f ca="1">IF(F206="","","B")</f>
        <v/>
      </c>
      <c r="D206" s="213" t="str">
        <f t="shared" ref="D206:D208" ca="1" si="43">IF(F206="","","ploeg")</f>
        <v/>
      </c>
      <c r="E206" s="213"/>
      <c r="F206" s="215" t="str">
        <f ca="1">IF(SUMIF(tbl_ploegen,A205,Uitslagen_B)&gt;0,SUMIF(tbl_ploegen,A205,Uitslagen_B),"")</f>
        <v/>
      </c>
      <c r="G206" s="222" t="str">
        <f t="shared" ref="G206:G208" ca="1" si="44">IF(F206="","","/30")</f>
        <v/>
      </c>
      <c r="H206" s="221" t="str">
        <f t="shared" ca="1" si="42"/>
        <v/>
      </c>
      <c r="I206" s="219"/>
      <c r="J206" s="209"/>
    </row>
    <row r="207" spans="1:10" customFormat="1" ht="15.75" x14ac:dyDescent="0.25">
      <c r="A207" s="214"/>
      <c r="B207" s="214"/>
      <c r="C207" s="215" t="str">
        <f ca="1">IF(F207="","","C")</f>
        <v/>
      </c>
      <c r="D207" s="213" t="str">
        <f t="shared" ca="1" si="43"/>
        <v/>
      </c>
      <c r="E207" s="213"/>
      <c r="F207" s="215" t="str">
        <f ca="1">IF(SUMIF(tbl_ploegen,A205,Uitslagen_C)&gt;0,SUMIF(tbl_ploegen,A205,Uitslagen_C),"")</f>
        <v/>
      </c>
      <c r="G207" s="222" t="str">
        <f t="shared" ca="1" si="44"/>
        <v/>
      </c>
      <c r="H207" s="221" t="str">
        <f t="shared" ca="1" si="42"/>
        <v/>
      </c>
      <c r="I207" s="219"/>
      <c r="J207" s="225"/>
    </row>
    <row r="208" spans="1:10" customFormat="1" ht="16.5" x14ac:dyDescent="0.3">
      <c r="A208" s="214"/>
      <c r="B208" s="214"/>
      <c r="C208" s="215" t="str">
        <f ca="1">IF(F208="","","D")</f>
        <v/>
      </c>
      <c r="D208" s="213" t="str">
        <f t="shared" ca="1" si="43"/>
        <v/>
      </c>
      <c r="E208" s="213"/>
      <c r="F208" s="215" t="str">
        <f ca="1">IF(SUMIF(tbl_ploegen,A205,Uitslagen_D)&gt;0,SUMIF(tbl_ploegen,A205,Uitslagen_D),"")</f>
        <v/>
      </c>
      <c r="G208" s="222" t="str">
        <f t="shared" ca="1" si="44"/>
        <v/>
      </c>
      <c r="H208" s="221" t="str">
        <f t="shared" ca="1" si="42"/>
        <v/>
      </c>
      <c r="I208" s="223" t="s">
        <v>72</v>
      </c>
      <c r="J208" s="209"/>
    </row>
    <row r="209" spans="1:10" customFormat="1" ht="16.5" x14ac:dyDescent="0.3">
      <c r="A209" s="214"/>
      <c r="B209" s="214"/>
      <c r="C209" s="215" t="str">
        <f ca="1">IF(F209="","","E")</f>
        <v/>
      </c>
      <c r="D209" s="330" t="str">
        <f ca="1">IF(F209="","","ploeg")</f>
        <v/>
      </c>
      <c r="E209" s="330"/>
      <c r="F209" s="215" t="str">
        <f ca="1">IF(SUMIF(tbl_ploegen,A205,Uitslagen_E)&gt;0,SUMIF(tbl_ploegen,A205,Uitslagen_E),"")</f>
        <v/>
      </c>
      <c r="G209" s="222" t="str">
        <f ca="1">IF(F209="","","/30")</f>
        <v/>
      </c>
      <c r="H209" s="221" t="str">
        <f t="shared" ca="1" si="42"/>
        <v/>
      </c>
      <c r="I209" s="224">
        <f ca="1">SUM(H205:H210)</f>
        <v>0</v>
      </c>
      <c r="J209" s="209"/>
    </row>
    <row r="210" spans="1:10" customFormat="1" ht="16.5" x14ac:dyDescent="0.3">
      <c r="A210" s="214"/>
      <c r="B210" s="214"/>
      <c r="C210" s="215" t="str">
        <f ca="1">IF(F210="","","F")</f>
        <v>F</v>
      </c>
      <c r="D210" s="330" t="str">
        <f ca="1">IF(F210="","","ploeg")</f>
        <v>ploeg</v>
      </c>
      <c r="E210" s="330"/>
      <c r="F210" s="215">
        <f ca="1">IF(SUMIF(tbl_ploegen,A205,Uitslagen_F)&gt;0,SUMIF(tbl_ploegen,A205,Uitslagen_F),"")</f>
        <v>46174</v>
      </c>
      <c r="G210" s="222" t="str">
        <f ca="1">IF(F210="","","/30")</f>
        <v>/30</v>
      </c>
      <c r="H210" s="221">
        <f t="shared" ca="1" si="42"/>
        <v>0</v>
      </c>
      <c r="I210" s="225"/>
      <c r="J210" s="209"/>
    </row>
    <row r="211" spans="1:10" customFormat="1" ht="16.5" x14ac:dyDescent="0.3">
      <c r="A211" s="209"/>
      <c r="B211" s="209"/>
      <c r="C211" s="209"/>
      <c r="D211" s="210"/>
      <c r="E211" s="210"/>
      <c r="F211" s="210"/>
      <c r="G211" s="210"/>
      <c r="H211" s="211" t="str">
        <f>Ploegen!$C$1</f>
        <v>VRIENDENSCHIETING - LAREN</v>
      </c>
      <c r="I211" s="212">
        <f>Ploegen!$H$1</f>
        <v>46172</v>
      </c>
      <c r="J211" s="209"/>
    </row>
    <row r="212" spans="1:10" customFormat="1" ht="15.75" x14ac:dyDescent="0.25">
      <c r="A212" s="225"/>
      <c r="B212" s="225"/>
      <c r="C212" s="225"/>
      <c r="D212" s="225"/>
      <c r="E212" s="225"/>
      <c r="F212" s="225"/>
      <c r="G212" s="225"/>
      <c r="H212" s="211"/>
      <c r="I212" s="212"/>
      <c r="J212" s="213"/>
    </row>
    <row r="213" spans="1:10" customFormat="1" ht="16.5" x14ac:dyDescent="0.3">
      <c r="A213" s="214">
        <f>aantal_ploegen</f>
        <v>0</v>
      </c>
      <c r="B213" s="214" t="s">
        <v>69</v>
      </c>
      <c r="C213" s="215">
        <f>Aantal_30</f>
        <v>0</v>
      </c>
      <c r="D213" s="215">
        <v>30</v>
      </c>
      <c r="E213" s="216" t="s">
        <v>70</v>
      </c>
      <c r="F213" s="217">
        <f>Bedrag_per_ploeg_30</f>
        <v>0</v>
      </c>
      <c r="G213" s="225"/>
      <c r="H213" s="218"/>
      <c r="I213" s="209"/>
      <c r="J213" s="209"/>
    </row>
    <row r="214" spans="1:10" customFormat="1" ht="16.5" x14ac:dyDescent="0.3">
      <c r="A214" s="214"/>
      <c r="B214" s="214"/>
      <c r="C214" s="215">
        <f>Aantal_29</f>
        <v>0</v>
      </c>
      <c r="D214" s="215">
        <v>29</v>
      </c>
      <c r="E214" s="216" t="s">
        <v>70</v>
      </c>
      <c r="F214" s="217">
        <f>Bedrag_per_ploeg_29</f>
        <v>0</v>
      </c>
      <c r="G214" s="225"/>
      <c r="H214" s="218"/>
      <c r="I214" s="209"/>
      <c r="J214" s="209"/>
    </row>
    <row r="215" spans="1:10" customFormat="1" ht="16.5" x14ac:dyDescent="0.3">
      <c r="A215" s="214"/>
      <c r="B215" s="214"/>
      <c r="C215" s="215">
        <f>Aantal_28</f>
        <v>0</v>
      </c>
      <c r="D215" s="215">
        <v>28</v>
      </c>
      <c r="E215" s="216" t="s">
        <v>70</v>
      </c>
      <c r="F215" s="217">
        <f>Bedrag_per_ploeg_28</f>
        <v>0</v>
      </c>
      <c r="G215" s="217"/>
      <c r="H215" s="219"/>
      <c r="I215" s="209"/>
      <c r="J215" s="209"/>
    </row>
    <row r="216" spans="1:10" customFormat="1" ht="16.5" x14ac:dyDescent="0.3">
      <c r="A216" s="214"/>
      <c r="B216" s="214"/>
      <c r="C216" s="215" t="str">
        <f>IF(Bedrag_per_ploeg_27&gt;0,Aantal_27,"")</f>
        <v/>
      </c>
      <c r="D216" s="215" t="str">
        <f>IF(Bedrag_per_ploeg_27&gt;0,27,"")</f>
        <v/>
      </c>
      <c r="E216" s="216" t="str">
        <f>IF(Bedrag_per_ploeg_27&gt;0,"/30","")</f>
        <v/>
      </c>
      <c r="F216" s="217" t="str">
        <f>IF(Bedrag_per_ploeg_27&gt;0,Bedrag_per_ploeg_27,"")</f>
        <v/>
      </c>
      <c r="G216" s="217"/>
      <c r="H216" s="219"/>
      <c r="I216" s="214"/>
      <c r="J216" s="209"/>
    </row>
    <row r="217" spans="1:10" customFormat="1" ht="16.5" x14ac:dyDescent="0.3">
      <c r="A217" s="225"/>
      <c r="B217" s="225"/>
      <c r="C217" s="215" t="str">
        <f>IF(Bedrag_per_ploeg_26&gt;0,Aantal_26,"")</f>
        <v/>
      </c>
      <c r="D217" s="215" t="str">
        <f>IF(Bedrag_per_ploeg_26&gt;0,26,"")</f>
        <v/>
      </c>
      <c r="E217" s="216" t="str">
        <f>IF(Bedrag_per_ploeg_26&gt;0,"/30","")</f>
        <v/>
      </c>
      <c r="F217" s="217" t="str">
        <f>IF(Bedrag_per_ploeg_26&gt;0,Bedrag_per_ploeg_26,"")</f>
        <v/>
      </c>
      <c r="G217" s="217"/>
      <c r="H217" s="214"/>
      <c r="I217" s="214"/>
      <c r="J217" s="209"/>
    </row>
    <row r="218" spans="1:10" customFormat="1" ht="16.5" x14ac:dyDescent="0.3">
      <c r="A218" s="225"/>
      <c r="B218" s="225"/>
      <c r="C218" s="215" t="str">
        <f>IF(Bedrag_per_ploeg_25&gt;0,Aantal_25,"")</f>
        <v/>
      </c>
      <c r="D218" s="215" t="str">
        <f>IF(Bedrag_per_ploeg_25&gt;0,25,"")</f>
        <v/>
      </c>
      <c r="E218" s="216" t="str">
        <f>IF(Bedrag_per_ploeg_25&gt;0,"/30","")</f>
        <v/>
      </c>
      <c r="F218" s="217" t="str">
        <f>IF(Bedrag_per_ploeg_25&gt;0,Bedrag_per_ploeg_25,"")</f>
        <v/>
      </c>
      <c r="G218" s="217"/>
      <c r="H218" s="219"/>
      <c r="I218" s="214"/>
      <c r="J218" s="209"/>
    </row>
    <row r="219" spans="1:10" customFormat="1" ht="16.5" x14ac:dyDescent="0.3">
      <c r="A219" s="220" t="str" cm="1">
        <f t="array" aca="1" ref="A219" ca="1">IFERROR(
  INDEX(tbl_ploegen,SMALL(Ploegen!$AG$3:$AG$27,ROW(INDIRECT("A"&amp;(ROW()-9)/14+1)))-2,1),
  ""
)</f>
        <v/>
      </c>
      <c r="B219" s="220"/>
      <c r="C219" s="215" t="str">
        <f ca="1">IF(F219="","","A")</f>
        <v>A</v>
      </c>
      <c r="D219" s="213" t="s">
        <v>71</v>
      </c>
      <c r="E219" s="213"/>
      <c r="F219" s="215">
        <f ca="1">SUMIF(tbl_ploegen,A219,Uitslagen_A)</f>
        <v>0</v>
      </c>
      <c r="G219" s="216" t="s">
        <v>70</v>
      </c>
      <c r="H219" s="221">
        <f t="shared" ref="H219:H224" ca="1" si="45">IF(F219="","",IF(ISNA(VLOOKUP(F219,tbl_prijzen,13,FALSE)),0,VLOOKUP(F219,tbl_prijzen,13,FALSE)))</f>
        <v>0</v>
      </c>
      <c r="I219" s="214"/>
      <c r="J219" s="209"/>
    </row>
    <row r="220" spans="1:10" customFormat="1" ht="16.5" x14ac:dyDescent="0.3">
      <c r="A220" s="214"/>
      <c r="B220" s="214"/>
      <c r="C220" s="215" t="str">
        <f ca="1">IF(F220="","","B")</f>
        <v/>
      </c>
      <c r="D220" s="213" t="str">
        <f t="shared" ref="D220:D222" ca="1" si="46">IF(F220="","","ploeg")</f>
        <v/>
      </c>
      <c r="E220" s="213"/>
      <c r="F220" s="215" t="str">
        <f ca="1">IF(SUMIF(tbl_ploegen,A219,Uitslagen_B)&gt;0,SUMIF(tbl_ploegen,A219,Uitslagen_B),"")</f>
        <v/>
      </c>
      <c r="G220" s="222" t="str">
        <f t="shared" ref="G220:G222" ca="1" si="47">IF(F220="","","/30")</f>
        <v/>
      </c>
      <c r="H220" s="221" t="str">
        <f t="shared" ca="1" si="45"/>
        <v/>
      </c>
      <c r="I220" s="219"/>
      <c r="J220" s="209"/>
    </row>
    <row r="221" spans="1:10" customFormat="1" ht="15.75" x14ac:dyDescent="0.25">
      <c r="A221" s="214"/>
      <c r="B221" s="214"/>
      <c r="C221" s="215" t="str">
        <f ca="1">IF(F221="","","C")</f>
        <v/>
      </c>
      <c r="D221" s="213" t="str">
        <f t="shared" ca="1" si="46"/>
        <v/>
      </c>
      <c r="E221" s="213"/>
      <c r="F221" s="215" t="str">
        <f ca="1">IF(SUMIF(tbl_ploegen,A219,Uitslagen_C)&gt;0,SUMIF(tbl_ploegen,A219,Uitslagen_C),"")</f>
        <v/>
      </c>
      <c r="G221" s="222" t="str">
        <f t="shared" ca="1" si="47"/>
        <v/>
      </c>
      <c r="H221" s="221" t="str">
        <f t="shared" ca="1" si="45"/>
        <v/>
      </c>
      <c r="I221" s="219"/>
      <c r="J221" s="225"/>
    </row>
    <row r="222" spans="1:10" customFormat="1" ht="16.5" x14ac:dyDescent="0.3">
      <c r="A222" s="214"/>
      <c r="B222" s="214"/>
      <c r="C222" s="215" t="str">
        <f ca="1">IF(F222="","","D")</f>
        <v/>
      </c>
      <c r="D222" s="213" t="str">
        <f t="shared" ca="1" si="46"/>
        <v/>
      </c>
      <c r="E222" s="213"/>
      <c r="F222" s="215" t="str">
        <f ca="1">IF(SUMIF(tbl_ploegen,A219,Uitslagen_D)&gt;0,SUMIF(tbl_ploegen,A219,Uitslagen_D),"")</f>
        <v/>
      </c>
      <c r="G222" s="222" t="str">
        <f t="shared" ca="1" si="47"/>
        <v/>
      </c>
      <c r="H222" s="221" t="str">
        <f t="shared" ca="1" si="45"/>
        <v/>
      </c>
      <c r="I222" s="223" t="s">
        <v>72</v>
      </c>
      <c r="J222" s="209"/>
    </row>
    <row r="223" spans="1:10" customFormat="1" ht="16.5" x14ac:dyDescent="0.3">
      <c r="A223" s="214"/>
      <c r="B223" s="214"/>
      <c r="C223" s="215" t="str">
        <f ca="1">IF(F223="","","E")</f>
        <v/>
      </c>
      <c r="D223" s="330" t="str">
        <f ca="1">IF(F223="","","ploeg")</f>
        <v/>
      </c>
      <c r="E223" s="330"/>
      <c r="F223" s="215" t="str">
        <f ca="1">IF(SUMIF(tbl_ploegen,A219,Uitslagen_E)&gt;0,SUMIF(tbl_ploegen,A219,Uitslagen_E),"")</f>
        <v/>
      </c>
      <c r="G223" s="222" t="str">
        <f ca="1">IF(F223="","","/30")</f>
        <v/>
      </c>
      <c r="H223" s="221" t="str">
        <f t="shared" ca="1" si="45"/>
        <v/>
      </c>
      <c r="I223" s="224">
        <f ca="1">SUM(H219:H224)</f>
        <v>0</v>
      </c>
      <c r="J223" s="209"/>
    </row>
    <row r="224" spans="1:10" customFormat="1" ht="16.5" x14ac:dyDescent="0.3">
      <c r="A224" s="214"/>
      <c r="B224" s="214"/>
      <c r="C224" s="215" t="str">
        <f ca="1">IF(F224="","","F")</f>
        <v>F</v>
      </c>
      <c r="D224" s="330" t="str">
        <f ca="1">IF(F224="","","ploeg")</f>
        <v>ploeg</v>
      </c>
      <c r="E224" s="330"/>
      <c r="F224" s="215">
        <f ca="1">IF(SUMIF(tbl_ploegen,A219,Uitslagen_F)&gt;0,SUMIF(tbl_ploegen,A219,Uitslagen_F),"")</f>
        <v>46174</v>
      </c>
      <c r="G224" s="222" t="str">
        <f ca="1">IF(F224="","","/30")</f>
        <v>/30</v>
      </c>
      <c r="H224" s="221">
        <f t="shared" ca="1" si="45"/>
        <v>0</v>
      </c>
      <c r="I224" s="225"/>
      <c r="J224" s="209"/>
    </row>
    <row r="225" spans="1:10" customFormat="1" ht="16.5" x14ac:dyDescent="0.3">
      <c r="A225" s="209"/>
      <c r="B225" s="209"/>
      <c r="C225" s="209"/>
      <c r="D225" s="210"/>
      <c r="E225" s="210"/>
      <c r="F225" s="210"/>
      <c r="G225" s="210"/>
      <c r="H225" s="211" t="str">
        <f>Ploegen!$C$1</f>
        <v>VRIENDENSCHIETING - LAREN</v>
      </c>
      <c r="I225" s="212">
        <f>Ploegen!$H$1</f>
        <v>46172</v>
      </c>
      <c r="J225" s="209"/>
    </row>
    <row r="226" spans="1:10" customFormat="1" ht="15.75" x14ac:dyDescent="0.25">
      <c r="A226" s="225"/>
      <c r="B226" s="225"/>
      <c r="C226" s="225"/>
      <c r="D226" s="225"/>
      <c r="E226" s="225"/>
      <c r="F226" s="225"/>
      <c r="G226" s="225"/>
      <c r="H226" s="211"/>
      <c r="I226" s="212"/>
      <c r="J226" s="213"/>
    </row>
    <row r="227" spans="1:10" customFormat="1" ht="16.5" x14ac:dyDescent="0.3">
      <c r="A227" s="2">
        <f>aantal_ploegen</f>
        <v>0</v>
      </c>
      <c r="B227" s="2" t="s">
        <v>69</v>
      </c>
      <c r="C227" s="3">
        <f>Aantal_30</f>
        <v>0</v>
      </c>
      <c r="D227" s="3">
        <v>30</v>
      </c>
      <c r="E227" s="197" t="s">
        <v>70</v>
      </c>
      <c r="F227" s="4">
        <f>Bedrag_per_ploeg_30</f>
        <v>0</v>
      </c>
      <c r="G227" s="196"/>
      <c r="H227" s="59"/>
      <c r="I227" s="1"/>
      <c r="J227" s="1"/>
    </row>
    <row r="228" spans="1:10" customFormat="1" ht="16.5" x14ac:dyDescent="0.3">
      <c r="A228" s="2"/>
      <c r="B228" s="2"/>
      <c r="C228" s="3">
        <f>Aantal_29</f>
        <v>0</v>
      </c>
      <c r="D228" s="3">
        <v>29</v>
      </c>
      <c r="E228" s="197" t="s">
        <v>70</v>
      </c>
      <c r="F228" s="4">
        <f>Bedrag_per_ploeg_29</f>
        <v>0</v>
      </c>
      <c r="G228" s="196"/>
      <c r="H228" s="59"/>
      <c r="I228" s="1"/>
      <c r="J228" s="1"/>
    </row>
    <row r="229" spans="1:10" customFormat="1" ht="16.5" x14ac:dyDescent="0.3">
      <c r="A229" s="2"/>
      <c r="B229" s="2"/>
      <c r="C229" s="3">
        <f>Aantal_28</f>
        <v>0</v>
      </c>
      <c r="D229" s="3">
        <v>28</v>
      </c>
      <c r="E229" s="197" t="s">
        <v>70</v>
      </c>
      <c r="F229" s="4">
        <f>Bedrag_per_ploeg_28</f>
        <v>0</v>
      </c>
      <c r="G229" s="4"/>
      <c r="H229" s="5"/>
      <c r="I229" s="1"/>
      <c r="J229" s="1"/>
    </row>
    <row r="230" spans="1:10" customFormat="1" ht="16.5" x14ac:dyDescent="0.3">
      <c r="A230" s="2"/>
      <c r="B230" s="2"/>
      <c r="C230" s="3" t="str">
        <f>IF(Bedrag_per_ploeg_27&gt;0,Aantal_27,"")</f>
        <v/>
      </c>
      <c r="D230" s="3" t="str">
        <f>IF(Bedrag_per_ploeg_27&gt;0,27,"")</f>
        <v/>
      </c>
      <c r="E230" s="197" t="str">
        <f>IF(Bedrag_per_ploeg_27&gt;0,"/30","")</f>
        <v/>
      </c>
      <c r="F230" s="4" t="str">
        <f>IF(Bedrag_per_ploeg_27&gt;0,Bedrag_per_ploeg_27,"")</f>
        <v/>
      </c>
      <c r="G230" s="4"/>
      <c r="H230" s="5"/>
      <c r="I230" s="2"/>
      <c r="J230" s="1"/>
    </row>
    <row r="231" spans="1:10" customFormat="1" ht="16.5" x14ac:dyDescent="0.3">
      <c r="A231" s="196"/>
      <c r="B231" s="196"/>
      <c r="C231" s="3" t="str">
        <f>IF(Bedrag_per_ploeg_26&gt;0,Aantal_26,"")</f>
        <v/>
      </c>
      <c r="D231" s="3" t="str">
        <f>IF(Bedrag_per_ploeg_26&gt;0,26,"")</f>
        <v/>
      </c>
      <c r="E231" s="197" t="str">
        <f>IF(Bedrag_per_ploeg_26&gt;0,"/30","")</f>
        <v/>
      </c>
      <c r="F231" s="4" t="str">
        <f>IF(Bedrag_per_ploeg_26&gt;0,Bedrag_per_ploeg_26,"")</f>
        <v/>
      </c>
      <c r="G231" s="4"/>
      <c r="H231" s="2"/>
      <c r="I231" s="2"/>
      <c r="J231" s="1"/>
    </row>
    <row r="232" spans="1:10" customFormat="1" ht="16.5" x14ac:dyDescent="0.3">
      <c r="A232" s="196"/>
      <c r="B232" s="196"/>
      <c r="C232" s="3" t="str">
        <f>IF(Bedrag_per_ploeg_25&gt;0,Aantal_25,"")</f>
        <v/>
      </c>
      <c r="D232" s="3" t="str">
        <f>IF(Bedrag_per_ploeg_25&gt;0,25,"")</f>
        <v/>
      </c>
      <c r="E232" s="197" t="str">
        <f>IF(Bedrag_per_ploeg_25&gt;0,"/30","")</f>
        <v/>
      </c>
      <c r="F232" s="4" t="str">
        <f>IF(Bedrag_per_ploeg_25&gt;0,Bedrag_per_ploeg_25,"")</f>
        <v/>
      </c>
      <c r="G232" s="4"/>
      <c r="H232" s="5"/>
      <c r="I232" s="2"/>
      <c r="J232" s="1"/>
    </row>
    <row r="233" spans="1:10" customFormat="1" ht="16.5" x14ac:dyDescent="0.3">
      <c r="A233" s="220" t="str" cm="1">
        <f t="array" aca="1" ref="A233" ca="1">IFERROR(
  INDEX(tbl_ploegen,SMALL(Ploegen!$AG$3:$AG$27,ROW(INDIRECT("A"&amp;(ROW()-9)/14+1)))-2,1),
  ""
)</f>
        <v/>
      </c>
      <c r="B233" s="56"/>
      <c r="C233" s="3" t="str">
        <f ca="1">IF(F233="","","A")</f>
        <v>A</v>
      </c>
      <c r="D233" s="40" t="s">
        <v>71</v>
      </c>
      <c r="E233" s="40"/>
      <c r="F233" s="3">
        <f ca="1">SUMIF(tbl_ploegen,A233,Uitslagen_A)</f>
        <v>0</v>
      </c>
      <c r="G233" s="197" t="s">
        <v>70</v>
      </c>
      <c r="H233" s="6">
        <f t="shared" ref="H233:H238" ca="1" si="48">IF(F233="","",IF(ISNA(VLOOKUP(F233,tbl_prijzen,13,FALSE)),0,VLOOKUP(F233,tbl_prijzen,13,FALSE)))</f>
        <v>0</v>
      </c>
      <c r="I233" s="2"/>
      <c r="J233" s="1"/>
    </row>
    <row r="234" spans="1:10" customFormat="1" ht="16.5" x14ac:dyDescent="0.3">
      <c r="A234" s="2"/>
      <c r="B234" s="2"/>
      <c r="C234" s="3" t="str">
        <f ca="1">IF(F234="","","B")</f>
        <v/>
      </c>
      <c r="D234" s="40" t="str">
        <f t="shared" ref="D234:D236" ca="1" si="49">IF(F234="","","ploeg")</f>
        <v/>
      </c>
      <c r="E234" s="40"/>
      <c r="F234" s="3" t="str">
        <f ca="1">IF(SUMIF(tbl_ploegen,A233,Uitslagen_B)&gt;0,SUMIF(tbl_ploegen,A233,Uitslagen_B),"")</f>
        <v/>
      </c>
      <c r="G234" s="8" t="str">
        <f t="shared" ref="G234:G236" ca="1" si="50">IF(F234="","","/30")</f>
        <v/>
      </c>
      <c r="H234" s="6" t="str">
        <f t="shared" ca="1" si="48"/>
        <v/>
      </c>
      <c r="I234" s="5"/>
      <c r="J234" s="1"/>
    </row>
    <row r="235" spans="1:10" customFormat="1" ht="15.75" x14ac:dyDescent="0.25">
      <c r="A235" s="2"/>
      <c r="B235" s="2"/>
      <c r="C235" s="3" t="str">
        <f ca="1">IF(F235="","","C")</f>
        <v/>
      </c>
      <c r="D235" s="40" t="str">
        <f t="shared" ca="1" si="49"/>
        <v/>
      </c>
      <c r="E235" s="40"/>
      <c r="F235" s="3" t="str">
        <f ca="1">IF(SUMIF(tbl_ploegen,A233,Uitslagen_C)&gt;0,SUMIF(tbl_ploegen,A233,Uitslagen_C),"")</f>
        <v/>
      </c>
      <c r="G235" s="8" t="str">
        <f t="shared" ca="1" si="50"/>
        <v/>
      </c>
      <c r="H235" s="6" t="str">
        <f t="shared" ca="1" si="48"/>
        <v/>
      </c>
      <c r="I235" s="5"/>
      <c r="J235" s="196"/>
    </row>
    <row r="236" spans="1:10" customFormat="1" ht="16.5" x14ac:dyDescent="0.3">
      <c r="A236" s="2"/>
      <c r="B236" s="2"/>
      <c r="C236" s="3" t="str">
        <f ca="1">IF(F236="","","D")</f>
        <v/>
      </c>
      <c r="D236" s="40" t="str">
        <f t="shared" ca="1" si="49"/>
        <v/>
      </c>
      <c r="E236" s="40"/>
      <c r="F236" s="3" t="str">
        <f ca="1">IF(SUMIF(tbl_ploegen,A233,Uitslagen_D)&gt;0,SUMIF(tbl_ploegen,A233,Uitslagen_D),"")</f>
        <v/>
      </c>
      <c r="G236" s="8" t="str">
        <f t="shared" ca="1" si="50"/>
        <v/>
      </c>
      <c r="H236" s="6" t="str">
        <f t="shared" ca="1" si="48"/>
        <v/>
      </c>
      <c r="I236" s="7" t="s">
        <v>72</v>
      </c>
      <c r="J236" s="1"/>
    </row>
    <row r="237" spans="1:10" customFormat="1" ht="16.5" x14ac:dyDescent="0.3">
      <c r="A237" s="2"/>
      <c r="B237" s="2"/>
      <c r="C237" s="3" t="str">
        <f ca="1">IF(F237="","","E")</f>
        <v/>
      </c>
      <c r="D237" s="329" t="str">
        <f ca="1">IF(F237="","","ploeg")</f>
        <v/>
      </c>
      <c r="E237" s="329"/>
      <c r="F237" s="3" t="str">
        <f ca="1">IF(SUMIF(tbl_ploegen,A233,Uitslagen_E)&gt;0,SUMIF(tbl_ploegen,A233,Uitslagen_E),"")</f>
        <v/>
      </c>
      <c r="G237" s="8" t="str">
        <f ca="1">IF(F237="","","/30")</f>
        <v/>
      </c>
      <c r="H237" s="6" t="str">
        <f t="shared" ca="1" si="48"/>
        <v/>
      </c>
      <c r="I237" s="9">
        <f ca="1">SUM(H233:H238)</f>
        <v>0</v>
      </c>
      <c r="J237" s="1"/>
    </row>
    <row r="238" spans="1:10" customFormat="1" ht="16.5" x14ac:dyDescent="0.3">
      <c r="A238" s="2"/>
      <c r="B238" s="2"/>
      <c r="C238" s="3" t="str">
        <f ca="1">IF(F238="","","F")</f>
        <v>F</v>
      </c>
      <c r="D238" s="329" t="str">
        <f ca="1">IF(F238="","","ploeg")</f>
        <v>ploeg</v>
      </c>
      <c r="E238" s="329"/>
      <c r="F238" s="3">
        <f ca="1">IF(SUMIF(tbl_ploegen,A233,Uitslagen_F)&gt;0,SUMIF(tbl_ploegen,A233,Uitslagen_F),"")</f>
        <v>46174</v>
      </c>
      <c r="G238" s="8" t="str">
        <f ca="1">IF(F238="","","/30")</f>
        <v>/30</v>
      </c>
      <c r="H238" s="6">
        <f t="shared" ca="1" si="48"/>
        <v>0</v>
      </c>
      <c r="I238" s="196"/>
      <c r="J238" s="1"/>
    </row>
    <row r="239" spans="1:10" customFormat="1" ht="16.5" x14ac:dyDescent="0.3">
      <c r="A239" s="1"/>
      <c r="B239" s="1"/>
      <c r="C239" s="1"/>
      <c r="D239" s="41"/>
      <c r="E239" s="41"/>
      <c r="F239" s="41"/>
      <c r="G239" s="41"/>
      <c r="H239" s="55" t="str">
        <f>Ploegen!$C$1</f>
        <v>VRIENDENSCHIETING - LAREN</v>
      </c>
      <c r="I239" s="25">
        <f>Ploegen!$H$1</f>
        <v>46172</v>
      </c>
      <c r="J239" s="1"/>
    </row>
    <row r="240" spans="1:10" customFormat="1" ht="15.75" x14ac:dyDescent="0.25">
      <c r="A240" s="196"/>
      <c r="B240" s="196"/>
      <c r="C240" s="196"/>
      <c r="D240" s="196"/>
      <c r="E240" s="196"/>
      <c r="F240" s="196"/>
      <c r="G240" s="196"/>
      <c r="H240" s="55"/>
      <c r="I240" s="25"/>
      <c r="J240" s="40"/>
    </row>
    <row r="241" spans="1:10" customFormat="1" ht="16.5" x14ac:dyDescent="0.3">
      <c r="A241" s="2">
        <f>aantal_ploegen</f>
        <v>0</v>
      </c>
      <c r="B241" s="2" t="s">
        <v>69</v>
      </c>
      <c r="C241" s="3">
        <f>Aantal_30</f>
        <v>0</v>
      </c>
      <c r="D241" s="3">
        <v>30</v>
      </c>
      <c r="E241" s="197" t="s">
        <v>70</v>
      </c>
      <c r="F241" s="4">
        <f>Bedrag_per_ploeg_30</f>
        <v>0</v>
      </c>
      <c r="G241" s="196"/>
      <c r="H241" s="59"/>
      <c r="I241" s="1"/>
      <c r="J241" s="1"/>
    </row>
    <row r="242" spans="1:10" customFormat="1" ht="16.5" x14ac:dyDescent="0.3">
      <c r="A242" s="2"/>
      <c r="B242" s="2"/>
      <c r="C242" s="3">
        <f>Aantal_29</f>
        <v>0</v>
      </c>
      <c r="D242" s="3">
        <v>29</v>
      </c>
      <c r="E242" s="197" t="s">
        <v>70</v>
      </c>
      <c r="F242" s="4">
        <f>Bedrag_per_ploeg_29</f>
        <v>0</v>
      </c>
      <c r="G242" s="196"/>
      <c r="H242" s="59"/>
      <c r="I242" s="1"/>
      <c r="J242" s="1"/>
    </row>
    <row r="243" spans="1:10" customFormat="1" ht="16.5" x14ac:dyDescent="0.3">
      <c r="A243" s="2"/>
      <c r="B243" s="2"/>
      <c r="C243" s="3">
        <f>Aantal_28</f>
        <v>0</v>
      </c>
      <c r="D243" s="3">
        <v>28</v>
      </c>
      <c r="E243" s="197" t="s">
        <v>70</v>
      </c>
      <c r="F243" s="4">
        <f>Bedrag_per_ploeg_28</f>
        <v>0</v>
      </c>
      <c r="G243" s="4"/>
      <c r="H243" s="5"/>
      <c r="I243" s="1"/>
      <c r="J243" s="1"/>
    </row>
    <row r="244" spans="1:10" customFormat="1" ht="16.5" x14ac:dyDescent="0.3">
      <c r="A244" s="2"/>
      <c r="B244" s="2"/>
      <c r="C244" s="3" t="str">
        <f>IF(Bedrag_per_ploeg_27&gt;0,Aantal_27,"")</f>
        <v/>
      </c>
      <c r="D244" s="3" t="str">
        <f>IF(Bedrag_per_ploeg_27&gt;0,27,"")</f>
        <v/>
      </c>
      <c r="E244" s="197" t="str">
        <f>IF(Bedrag_per_ploeg_27&gt;0,"/30","")</f>
        <v/>
      </c>
      <c r="F244" s="4" t="str">
        <f>IF(Bedrag_per_ploeg_27&gt;0,Bedrag_per_ploeg_27,"")</f>
        <v/>
      </c>
      <c r="G244" s="4"/>
      <c r="H244" s="5"/>
      <c r="I244" s="2"/>
      <c r="J244" s="1"/>
    </row>
    <row r="245" spans="1:10" customFormat="1" ht="16.5" x14ac:dyDescent="0.3">
      <c r="A245" s="196"/>
      <c r="B245" s="196"/>
      <c r="C245" s="3" t="str">
        <f>IF(Bedrag_per_ploeg_26&gt;0,Aantal_26,"")</f>
        <v/>
      </c>
      <c r="D245" s="3" t="str">
        <f>IF(Bedrag_per_ploeg_26&gt;0,26,"")</f>
        <v/>
      </c>
      <c r="E245" s="197" t="str">
        <f>IF(Bedrag_per_ploeg_26&gt;0,"/30","")</f>
        <v/>
      </c>
      <c r="F245" s="4" t="str">
        <f>IF(Bedrag_per_ploeg_26&gt;0,Bedrag_per_ploeg_26,"")</f>
        <v/>
      </c>
      <c r="G245" s="4"/>
      <c r="H245" s="2"/>
      <c r="I245" s="2"/>
      <c r="J245" s="1"/>
    </row>
    <row r="246" spans="1:10" customFormat="1" ht="16.5" x14ac:dyDescent="0.3">
      <c r="A246" s="196"/>
      <c r="B246" s="196"/>
      <c r="C246" s="3" t="str">
        <f>IF(Bedrag_per_ploeg_25&gt;0,Aantal_25,"")</f>
        <v/>
      </c>
      <c r="D246" s="3" t="str">
        <f>IF(Bedrag_per_ploeg_25&gt;0,25,"")</f>
        <v/>
      </c>
      <c r="E246" s="197" t="str">
        <f>IF(Bedrag_per_ploeg_25&gt;0,"/30","")</f>
        <v/>
      </c>
      <c r="F246" s="4" t="str">
        <f>IF(Bedrag_per_ploeg_25&gt;0,Bedrag_per_ploeg_25,"")</f>
        <v/>
      </c>
      <c r="G246" s="4"/>
      <c r="H246" s="5"/>
      <c r="I246" s="2"/>
      <c r="J246" s="1"/>
    </row>
    <row r="247" spans="1:10" customFormat="1" ht="16.5" x14ac:dyDescent="0.3">
      <c r="A247" s="220" t="str" cm="1">
        <f t="array" aca="1" ref="A247" ca="1">IFERROR(
  INDEX(tbl_ploegen,SMALL(Ploegen!$AG$3:$AG$27,ROW(INDIRECT("A"&amp;(ROW()-9)/14+1)))-2,1),
  ""
)</f>
        <v/>
      </c>
      <c r="B247" s="56"/>
      <c r="C247" s="3" t="str">
        <f ca="1">IF(F247="","","A")</f>
        <v>A</v>
      </c>
      <c r="D247" s="40" t="s">
        <v>71</v>
      </c>
      <c r="E247" s="40"/>
      <c r="F247" s="3">
        <f ca="1">SUMIF(tbl_ploegen,A247,Uitslagen_A)</f>
        <v>0</v>
      </c>
      <c r="G247" s="197" t="s">
        <v>70</v>
      </c>
      <c r="H247" s="6">
        <f t="shared" ref="H247:H252" ca="1" si="51">IF(F247="","",IF(ISNA(VLOOKUP(F247,tbl_prijzen,13,FALSE)),0,VLOOKUP(F247,tbl_prijzen,13,FALSE)))</f>
        <v>0</v>
      </c>
      <c r="I247" s="2"/>
      <c r="J247" s="1"/>
    </row>
    <row r="248" spans="1:10" customFormat="1" ht="16.5" x14ac:dyDescent="0.3">
      <c r="A248" s="2"/>
      <c r="B248" s="2"/>
      <c r="C248" s="3" t="str">
        <f ca="1">IF(F248="","","B")</f>
        <v/>
      </c>
      <c r="D248" s="40" t="str">
        <f t="shared" ref="D248:D250" ca="1" si="52">IF(F248="","","ploeg")</f>
        <v/>
      </c>
      <c r="E248" s="40"/>
      <c r="F248" s="3" t="str">
        <f ca="1">IF(SUMIF(tbl_ploegen,A247,Uitslagen_B)&gt;0,SUMIF(tbl_ploegen,A247,Uitslagen_B),"")</f>
        <v/>
      </c>
      <c r="G248" s="8" t="str">
        <f t="shared" ref="G248:G250" ca="1" si="53">IF(F248="","","/30")</f>
        <v/>
      </c>
      <c r="H248" s="6" t="str">
        <f t="shared" ca="1" si="51"/>
        <v/>
      </c>
      <c r="I248" s="5"/>
      <c r="J248" s="1"/>
    </row>
    <row r="249" spans="1:10" customFormat="1" ht="15.75" x14ac:dyDescent="0.25">
      <c r="A249" s="2"/>
      <c r="B249" s="2"/>
      <c r="C249" s="3" t="str">
        <f ca="1">IF(F249="","","C")</f>
        <v/>
      </c>
      <c r="D249" s="40" t="str">
        <f t="shared" ca="1" si="52"/>
        <v/>
      </c>
      <c r="E249" s="40"/>
      <c r="F249" s="3" t="str">
        <f ca="1">IF(SUMIF(tbl_ploegen,A247,Uitslagen_C)&gt;0,SUMIF(tbl_ploegen,A247,Uitslagen_C),"")</f>
        <v/>
      </c>
      <c r="G249" s="8" t="str">
        <f t="shared" ca="1" si="53"/>
        <v/>
      </c>
      <c r="H249" s="6" t="str">
        <f t="shared" ca="1" si="51"/>
        <v/>
      </c>
      <c r="I249" s="5"/>
      <c r="J249" s="196"/>
    </row>
    <row r="250" spans="1:10" customFormat="1" ht="16.5" x14ac:dyDescent="0.3">
      <c r="A250" s="2"/>
      <c r="B250" s="2"/>
      <c r="C250" s="3" t="str">
        <f ca="1">IF(F250="","","D")</f>
        <v/>
      </c>
      <c r="D250" s="40" t="str">
        <f t="shared" ca="1" si="52"/>
        <v/>
      </c>
      <c r="E250" s="40"/>
      <c r="F250" s="3" t="str">
        <f ca="1">IF(SUMIF(tbl_ploegen,A247,Uitslagen_D)&gt;0,SUMIF(tbl_ploegen,A247,Uitslagen_D),"")</f>
        <v/>
      </c>
      <c r="G250" s="8" t="str">
        <f t="shared" ca="1" si="53"/>
        <v/>
      </c>
      <c r="H250" s="6" t="str">
        <f t="shared" ca="1" si="51"/>
        <v/>
      </c>
      <c r="I250" s="7" t="s">
        <v>72</v>
      </c>
      <c r="J250" s="1"/>
    </row>
    <row r="251" spans="1:10" customFormat="1" ht="16.5" x14ac:dyDescent="0.3">
      <c r="A251" s="2"/>
      <c r="B251" s="2"/>
      <c r="C251" s="3" t="str">
        <f ca="1">IF(F251="","","E")</f>
        <v/>
      </c>
      <c r="D251" s="329" t="str">
        <f ca="1">IF(F251="","","ploeg")</f>
        <v/>
      </c>
      <c r="E251" s="329"/>
      <c r="F251" s="3" t="str">
        <f ca="1">IF(SUMIF(tbl_ploegen,A247,Uitslagen_E)&gt;0,SUMIF(tbl_ploegen,A247,Uitslagen_E),"")</f>
        <v/>
      </c>
      <c r="G251" s="8" t="str">
        <f ca="1">IF(F251="","","/30")</f>
        <v/>
      </c>
      <c r="H251" s="6" t="str">
        <f t="shared" ca="1" si="51"/>
        <v/>
      </c>
      <c r="I251" s="9">
        <f ca="1">SUM(H247:H252)</f>
        <v>0</v>
      </c>
      <c r="J251" s="1"/>
    </row>
    <row r="252" spans="1:10" customFormat="1" ht="16.5" x14ac:dyDescent="0.3">
      <c r="A252" s="2"/>
      <c r="B252" s="2"/>
      <c r="C252" s="3" t="str">
        <f ca="1">IF(F252="","","F")</f>
        <v>F</v>
      </c>
      <c r="D252" s="329" t="str">
        <f ca="1">IF(F252="","","ploeg")</f>
        <v>ploeg</v>
      </c>
      <c r="E252" s="329"/>
      <c r="F252" s="3">
        <f ca="1">IF(SUMIF(tbl_ploegen,A247,Uitslagen_F)&gt;0,SUMIF(tbl_ploegen,A247,Uitslagen_F),"")</f>
        <v>46174</v>
      </c>
      <c r="G252" s="8" t="str">
        <f ca="1">IF(F252="","","/30")</f>
        <v>/30</v>
      </c>
      <c r="H252" s="6">
        <f t="shared" ca="1" si="51"/>
        <v>0</v>
      </c>
      <c r="I252" s="196"/>
      <c r="J252" s="1"/>
    </row>
    <row r="253" spans="1:10" customFormat="1" ht="16.5" x14ac:dyDescent="0.3">
      <c r="A253" s="1"/>
      <c r="B253" s="1"/>
      <c r="C253" s="1"/>
      <c r="D253" s="41"/>
      <c r="E253" s="41"/>
      <c r="F253" s="41"/>
      <c r="G253" s="41"/>
      <c r="H253" s="55" t="str">
        <f>Ploegen!$C$1</f>
        <v>VRIENDENSCHIETING - LAREN</v>
      </c>
      <c r="I253" s="25">
        <f>Ploegen!$H$1</f>
        <v>46172</v>
      </c>
      <c r="J253" s="1"/>
    </row>
    <row r="254" spans="1:10" customFormat="1" ht="15.75" x14ac:dyDescent="0.25">
      <c r="A254" s="196"/>
      <c r="B254" s="196"/>
      <c r="C254" s="196"/>
      <c r="D254" s="196"/>
      <c r="E254" s="196"/>
      <c r="F254" s="196"/>
      <c r="G254" s="196"/>
      <c r="H254" s="55"/>
      <c r="I254" s="25"/>
      <c r="J254" s="40"/>
    </row>
    <row r="255" spans="1:10" customFormat="1" ht="16.5" x14ac:dyDescent="0.3">
      <c r="A255" s="2">
        <f>aantal_ploegen</f>
        <v>0</v>
      </c>
      <c r="B255" s="2" t="s">
        <v>69</v>
      </c>
      <c r="C255" s="3">
        <f>Aantal_30</f>
        <v>0</v>
      </c>
      <c r="D255" s="3">
        <v>30</v>
      </c>
      <c r="E255" s="197" t="s">
        <v>70</v>
      </c>
      <c r="F255" s="4">
        <f>Bedrag_per_ploeg_30</f>
        <v>0</v>
      </c>
      <c r="G255" s="196"/>
      <c r="H255" s="59"/>
      <c r="I255" s="1"/>
      <c r="J255" s="1"/>
    </row>
    <row r="256" spans="1:10" customFormat="1" ht="16.5" x14ac:dyDescent="0.3">
      <c r="A256" s="2"/>
      <c r="B256" s="2"/>
      <c r="C256" s="3">
        <f>Aantal_29</f>
        <v>0</v>
      </c>
      <c r="D256" s="3">
        <v>29</v>
      </c>
      <c r="E256" s="197" t="s">
        <v>70</v>
      </c>
      <c r="F256" s="4">
        <f>Bedrag_per_ploeg_29</f>
        <v>0</v>
      </c>
      <c r="G256" s="196"/>
      <c r="H256" s="59"/>
      <c r="I256" s="1"/>
      <c r="J256" s="1"/>
    </row>
    <row r="257" spans="1:10" customFormat="1" ht="16.5" x14ac:dyDescent="0.3">
      <c r="A257" s="2"/>
      <c r="B257" s="2"/>
      <c r="C257" s="3">
        <f>Aantal_28</f>
        <v>0</v>
      </c>
      <c r="D257" s="3">
        <v>28</v>
      </c>
      <c r="E257" s="197" t="s">
        <v>70</v>
      </c>
      <c r="F257" s="4">
        <f>Bedrag_per_ploeg_28</f>
        <v>0</v>
      </c>
      <c r="G257" s="4"/>
      <c r="H257" s="5"/>
      <c r="I257" s="1"/>
      <c r="J257" s="1"/>
    </row>
    <row r="258" spans="1:10" customFormat="1" ht="16.5" x14ac:dyDescent="0.3">
      <c r="A258" s="2"/>
      <c r="B258" s="2"/>
      <c r="C258" s="3" t="str">
        <f>IF(Bedrag_per_ploeg_27&gt;0,Aantal_27,"")</f>
        <v/>
      </c>
      <c r="D258" s="3" t="str">
        <f>IF(Bedrag_per_ploeg_27&gt;0,27,"")</f>
        <v/>
      </c>
      <c r="E258" s="197" t="str">
        <f>IF(Bedrag_per_ploeg_27&gt;0,"/30","")</f>
        <v/>
      </c>
      <c r="F258" s="4" t="str">
        <f>IF(Bedrag_per_ploeg_27&gt;0,Bedrag_per_ploeg_27,"")</f>
        <v/>
      </c>
      <c r="G258" s="4"/>
      <c r="H258" s="5"/>
      <c r="I258" s="2"/>
      <c r="J258" s="1"/>
    </row>
    <row r="259" spans="1:10" customFormat="1" ht="16.5" x14ac:dyDescent="0.3">
      <c r="A259" s="196"/>
      <c r="B259" s="196"/>
      <c r="C259" s="3" t="str">
        <f>IF(Bedrag_per_ploeg_26&gt;0,Aantal_26,"")</f>
        <v/>
      </c>
      <c r="D259" s="3" t="str">
        <f>IF(Bedrag_per_ploeg_26&gt;0,26,"")</f>
        <v/>
      </c>
      <c r="E259" s="197" t="str">
        <f>IF(Bedrag_per_ploeg_26&gt;0,"/30","")</f>
        <v/>
      </c>
      <c r="F259" s="4" t="str">
        <f>IF(Bedrag_per_ploeg_26&gt;0,Bedrag_per_ploeg_26,"")</f>
        <v/>
      </c>
      <c r="G259" s="4"/>
      <c r="H259" s="2"/>
      <c r="I259" s="2"/>
      <c r="J259" s="1"/>
    </row>
    <row r="260" spans="1:10" customFormat="1" ht="16.5" x14ac:dyDescent="0.3">
      <c r="A260" s="196"/>
      <c r="B260" s="196"/>
      <c r="C260" s="3" t="str">
        <f>IF(Bedrag_per_ploeg_25&gt;0,Aantal_25,"")</f>
        <v/>
      </c>
      <c r="D260" s="3" t="str">
        <f>IF(Bedrag_per_ploeg_25&gt;0,25,"")</f>
        <v/>
      </c>
      <c r="E260" s="197" t="str">
        <f>IF(Bedrag_per_ploeg_25&gt;0,"/30","")</f>
        <v/>
      </c>
      <c r="F260" s="4" t="str">
        <f>IF(Bedrag_per_ploeg_25&gt;0,Bedrag_per_ploeg_25,"")</f>
        <v/>
      </c>
      <c r="G260" s="4"/>
      <c r="H260" s="5"/>
      <c r="I260" s="2"/>
      <c r="J260" s="1"/>
    </row>
    <row r="261" spans="1:10" customFormat="1" ht="16.5" x14ac:dyDescent="0.3">
      <c r="A261" s="220" t="str" cm="1">
        <f t="array" aca="1" ref="A261" ca="1">IFERROR(
  INDEX(tbl_ploegen,SMALL(Ploegen!$AG$3:$AG$27,ROW(INDIRECT("A"&amp;(ROW()-9)/14+1)))-2,1),
  ""
)</f>
        <v/>
      </c>
      <c r="B261" s="56"/>
      <c r="C261" s="3" t="str">
        <f ca="1">IF(F261="","","A")</f>
        <v>A</v>
      </c>
      <c r="D261" s="40" t="s">
        <v>71</v>
      </c>
      <c r="E261" s="40"/>
      <c r="F261" s="3">
        <f ca="1">SUMIF(tbl_ploegen,A261,Uitslagen_A)</f>
        <v>0</v>
      </c>
      <c r="G261" s="197" t="s">
        <v>70</v>
      </c>
      <c r="H261" s="6">
        <f t="shared" ref="H261:H266" ca="1" si="54">IF(F261="","",IF(ISNA(VLOOKUP(F261,tbl_prijzen,13,FALSE)),0,VLOOKUP(F261,tbl_prijzen,13,FALSE)))</f>
        <v>0</v>
      </c>
      <c r="I261" s="2"/>
      <c r="J261" s="1"/>
    </row>
    <row r="262" spans="1:10" customFormat="1" ht="16.5" x14ac:dyDescent="0.3">
      <c r="A262" s="2"/>
      <c r="B262" s="2"/>
      <c r="C262" s="3" t="str">
        <f ca="1">IF(F262="","","B")</f>
        <v/>
      </c>
      <c r="D262" s="40" t="str">
        <f t="shared" ref="D262:D264" ca="1" si="55">IF(F262="","","ploeg")</f>
        <v/>
      </c>
      <c r="E262" s="40"/>
      <c r="F262" s="3" t="str">
        <f ca="1">IF(SUMIF(tbl_ploegen,A261,Uitslagen_B)&gt;0,SUMIF(tbl_ploegen,A261,Uitslagen_B),"")</f>
        <v/>
      </c>
      <c r="G262" s="8" t="str">
        <f t="shared" ref="G262:G264" ca="1" si="56">IF(F262="","","/30")</f>
        <v/>
      </c>
      <c r="H262" s="6" t="str">
        <f t="shared" ca="1" si="54"/>
        <v/>
      </c>
      <c r="I262" s="5"/>
      <c r="J262" s="1"/>
    </row>
    <row r="263" spans="1:10" customFormat="1" ht="15.75" x14ac:dyDescent="0.25">
      <c r="A263" s="2"/>
      <c r="B263" s="2"/>
      <c r="C263" s="3" t="str">
        <f ca="1">IF(F263="","","C")</f>
        <v/>
      </c>
      <c r="D263" s="40" t="str">
        <f t="shared" ca="1" si="55"/>
        <v/>
      </c>
      <c r="E263" s="40"/>
      <c r="F263" s="3" t="str">
        <f ca="1">IF(SUMIF(tbl_ploegen,A261,Uitslagen_C)&gt;0,SUMIF(tbl_ploegen,A261,Uitslagen_C),"")</f>
        <v/>
      </c>
      <c r="G263" s="8" t="str">
        <f t="shared" ca="1" si="56"/>
        <v/>
      </c>
      <c r="H263" s="6" t="str">
        <f t="shared" ca="1" si="54"/>
        <v/>
      </c>
      <c r="I263" s="5"/>
      <c r="J263" s="196"/>
    </row>
    <row r="264" spans="1:10" customFormat="1" ht="16.5" x14ac:dyDescent="0.3">
      <c r="A264" s="2"/>
      <c r="B264" s="2"/>
      <c r="C264" s="3" t="str">
        <f ca="1">IF(F264="","","D")</f>
        <v/>
      </c>
      <c r="D264" s="40" t="str">
        <f t="shared" ca="1" si="55"/>
        <v/>
      </c>
      <c r="E264" s="40"/>
      <c r="F264" s="3" t="str">
        <f ca="1">IF(SUMIF(tbl_ploegen,A261,Uitslagen_D)&gt;0,SUMIF(tbl_ploegen,A261,Uitslagen_D),"")</f>
        <v/>
      </c>
      <c r="G264" s="8" t="str">
        <f t="shared" ca="1" si="56"/>
        <v/>
      </c>
      <c r="H264" s="6" t="str">
        <f t="shared" ca="1" si="54"/>
        <v/>
      </c>
      <c r="I264" s="7" t="s">
        <v>72</v>
      </c>
      <c r="J264" s="1"/>
    </row>
    <row r="265" spans="1:10" customFormat="1" ht="16.5" x14ac:dyDescent="0.3">
      <c r="A265" s="2"/>
      <c r="B265" s="2"/>
      <c r="C265" s="3" t="str">
        <f ca="1">IF(F265="","","E")</f>
        <v/>
      </c>
      <c r="D265" s="329" t="str">
        <f ca="1">IF(F265="","","ploeg")</f>
        <v/>
      </c>
      <c r="E265" s="329"/>
      <c r="F265" s="3" t="str">
        <f ca="1">IF(SUMIF(tbl_ploegen,A261,Uitslagen_E)&gt;0,SUMIF(tbl_ploegen,A261,Uitslagen_E),"")</f>
        <v/>
      </c>
      <c r="G265" s="8" t="str">
        <f ca="1">IF(F265="","","/30")</f>
        <v/>
      </c>
      <c r="H265" s="6" t="str">
        <f t="shared" ca="1" si="54"/>
        <v/>
      </c>
      <c r="I265" s="9">
        <f ca="1">SUM(H261:H266)</f>
        <v>0</v>
      </c>
      <c r="J265" s="1"/>
    </row>
    <row r="266" spans="1:10" customFormat="1" ht="16.5" x14ac:dyDescent="0.3">
      <c r="A266" s="2"/>
      <c r="B266" s="2"/>
      <c r="C266" s="3" t="str">
        <f ca="1">IF(F266="","","F")</f>
        <v>F</v>
      </c>
      <c r="D266" s="329" t="str">
        <f ca="1">IF(F266="","","ploeg")</f>
        <v>ploeg</v>
      </c>
      <c r="E266" s="329"/>
      <c r="F266" s="3">
        <f ca="1">IF(SUMIF(tbl_ploegen,A261,Uitslagen_F)&gt;0,SUMIF(tbl_ploegen,A261,Uitslagen_F),"")</f>
        <v>46174</v>
      </c>
      <c r="G266" s="8" t="str">
        <f ca="1">IF(F266="","","/30")</f>
        <v>/30</v>
      </c>
      <c r="H266" s="6">
        <f t="shared" ca="1" si="54"/>
        <v>0</v>
      </c>
      <c r="I266" s="196"/>
      <c r="J266" s="1"/>
    </row>
    <row r="267" spans="1:10" customFormat="1" ht="16.5" x14ac:dyDescent="0.3">
      <c r="A267" s="1"/>
      <c r="B267" s="1"/>
      <c r="C267" s="1"/>
      <c r="D267" s="41"/>
      <c r="E267" s="41"/>
      <c r="F267" s="41"/>
      <c r="G267" s="41"/>
      <c r="H267" s="55" t="str">
        <f>Ploegen!$C$1</f>
        <v>VRIENDENSCHIETING - LAREN</v>
      </c>
      <c r="I267" s="25">
        <f>Ploegen!$H$1</f>
        <v>46172</v>
      </c>
      <c r="J267" s="1"/>
    </row>
    <row r="268" spans="1:10" customFormat="1" ht="15.75" x14ac:dyDescent="0.25">
      <c r="A268" s="196"/>
      <c r="B268" s="196"/>
      <c r="C268" s="196"/>
      <c r="D268" s="196"/>
      <c r="E268" s="196"/>
      <c r="F268" s="196"/>
      <c r="G268" s="196"/>
      <c r="H268" s="55"/>
      <c r="I268" s="25"/>
      <c r="J268" s="40"/>
    </row>
    <row r="269" spans="1:10" customFormat="1" ht="16.5" x14ac:dyDescent="0.3">
      <c r="A269" s="2">
        <f>aantal_ploegen</f>
        <v>0</v>
      </c>
      <c r="B269" s="2" t="s">
        <v>69</v>
      </c>
      <c r="C269" s="3">
        <f>Aantal_30</f>
        <v>0</v>
      </c>
      <c r="D269" s="3">
        <v>30</v>
      </c>
      <c r="E269" s="197" t="s">
        <v>70</v>
      </c>
      <c r="F269" s="4">
        <f>Bedrag_per_ploeg_30</f>
        <v>0</v>
      </c>
      <c r="G269" s="196"/>
      <c r="H269" s="59"/>
      <c r="I269" s="1"/>
      <c r="J269" s="1"/>
    </row>
    <row r="270" spans="1:10" customFormat="1" ht="16.5" x14ac:dyDescent="0.3">
      <c r="A270" s="2"/>
      <c r="B270" s="2"/>
      <c r="C270" s="3">
        <f>Aantal_29</f>
        <v>0</v>
      </c>
      <c r="D270" s="3">
        <v>29</v>
      </c>
      <c r="E270" s="197" t="s">
        <v>70</v>
      </c>
      <c r="F270" s="4">
        <f>Bedrag_per_ploeg_29</f>
        <v>0</v>
      </c>
      <c r="G270" s="196"/>
      <c r="H270" s="59"/>
      <c r="I270" s="1"/>
      <c r="J270" s="1"/>
    </row>
    <row r="271" spans="1:10" customFormat="1" ht="16.5" x14ac:dyDescent="0.3">
      <c r="A271" s="2"/>
      <c r="B271" s="2"/>
      <c r="C271" s="3">
        <f>Aantal_28</f>
        <v>0</v>
      </c>
      <c r="D271" s="3">
        <v>28</v>
      </c>
      <c r="E271" s="197" t="s">
        <v>70</v>
      </c>
      <c r="F271" s="4">
        <f>Bedrag_per_ploeg_28</f>
        <v>0</v>
      </c>
      <c r="G271" s="4"/>
      <c r="H271" s="5"/>
      <c r="I271" s="1"/>
      <c r="J271" s="1"/>
    </row>
    <row r="272" spans="1:10" customFormat="1" ht="16.5" x14ac:dyDescent="0.3">
      <c r="A272" s="2"/>
      <c r="B272" s="2"/>
      <c r="C272" s="3" t="str">
        <f>IF(Bedrag_per_ploeg_27&gt;0,Aantal_27,"")</f>
        <v/>
      </c>
      <c r="D272" s="3" t="str">
        <f>IF(Bedrag_per_ploeg_27&gt;0,27,"")</f>
        <v/>
      </c>
      <c r="E272" s="197" t="str">
        <f>IF(Bedrag_per_ploeg_27&gt;0,"/30","")</f>
        <v/>
      </c>
      <c r="F272" s="4" t="str">
        <f>IF(Bedrag_per_ploeg_27&gt;0,Bedrag_per_ploeg_27,"")</f>
        <v/>
      </c>
      <c r="G272" s="4"/>
      <c r="H272" s="5"/>
      <c r="I272" s="2"/>
      <c r="J272" s="1"/>
    </row>
    <row r="273" spans="1:10" customFormat="1" ht="16.5" x14ac:dyDescent="0.3">
      <c r="A273" s="196"/>
      <c r="B273" s="196"/>
      <c r="C273" s="3" t="str">
        <f>IF(Bedrag_per_ploeg_26&gt;0,Aantal_26,"")</f>
        <v/>
      </c>
      <c r="D273" s="3" t="str">
        <f>IF(Bedrag_per_ploeg_26&gt;0,26,"")</f>
        <v/>
      </c>
      <c r="E273" s="197" t="str">
        <f>IF(Bedrag_per_ploeg_26&gt;0,"/30","")</f>
        <v/>
      </c>
      <c r="F273" s="4" t="str">
        <f>IF(Bedrag_per_ploeg_26&gt;0,Bedrag_per_ploeg_26,"")</f>
        <v/>
      </c>
      <c r="G273" s="4"/>
      <c r="H273" s="2"/>
      <c r="I273" s="2"/>
      <c r="J273" s="1"/>
    </row>
    <row r="274" spans="1:10" customFormat="1" ht="16.5" x14ac:dyDescent="0.3">
      <c r="A274" s="196"/>
      <c r="B274" s="196"/>
      <c r="C274" s="3" t="str">
        <f>IF(Bedrag_per_ploeg_25&gt;0,Aantal_25,"")</f>
        <v/>
      </c>
      <c r="D274" s="3" t="str">
        <f>IF(Bedrag_per_ploeg_25&gt;0,25,"")</f>
        <v/>
      </c>
      <c r="E274" s="197" t="str">
        <f>IF(Bedrag_per_ploeg_25&gt;0,"/30","")</f>
        <v/>
      </c>
      <c r="F274" s="4" t="str">
        <f>IF(Bedrag_per_ploeg_25&gt;0,Bedrag_per_ploeg_25,"")</f>
        <v/>
      </c>
      <c r="G274" s="4"/>
      <c r="H274" s="5"/>
      <c r="I274" s="2"/>
      <c r="J274" s="1"/>
    </row>
    <row r="275" spans="1:10" customFormat="1" ht="16.5" x14ac:dyDescent="0.3">
      <c r="A275" s="220" t="str" cm="1">
        <f t="array" aca="1" ref="A275" ca="1">IFERROR(
  INDEX(tbl_ploegen,SMALL(Ploegen!$AG$3:$AG$27,ROW(INDIRECT("A"&amp;(ROW()-9)/14+1)))-2,1),
  ""
)</f>
        <v/>
      </c>
      <c r="B275" s="56"/>
      <c r="C275" s="3" t="str">
        <f ca="1">IF(F275="","","A")</f>
        <v>A</v>
      </c>
      <c r="D275" s="40" t="s">
        <v>71</v>
      </c>
      <c r="E275" s="40"/>
      <c r="F275" s="3">
        <f ca="1">SUMIF(tbl_ploegen,A275,Uitslagen_A)</f>
        <v>0</v>
      </c>
      <c r="G275" s="197" t="s">
        <v>70</v>
      </c>
      <c r="H275" s="6">
        <f t="shared" ref="H275:H280" ca="1" si="57">IF(F275="","",IF(ISNA(VLOOKUP(F275,tbl_prijzen,13,FALSE)),0,VLOOKUP(F275,tbl_prijzen,13,FALSE)))</f>
        <v>0</v>
      </c>
      <c r="I275" s="2"/>
      <c r="J275" s="1"/>
    </row>
    <row r="276" spans="1:10" customFormat="1" ht="16.5" x14ac:dyDescent="0.3">
      <c r="A276" s="2"/>
      <c r="B276" s="2"/>
      <c r="C276" s="3" t="str">
        <f ca="1">IF(F276="","","B")</f>
        <v/>
      </c>
      <c r="D276" s="40" t="str">
        <f t="shared" ref="D276:D278" ca="1" si="58">IF(F276="","","ploeg")</f>
        <v/>
      </c>
      <c r="E276" s="40"/>
      <c r="F276" s="3" t="str">
        <f ca="1">IF(SUMIF(tbl_ploegen,A275,Uitslagen_B)&gt;0,SUMIF(tbl_ploegen,A275,Uitslagen_B),"")</f>
        <v/>
      </c>
      <c r="G276" s="8" t="str">
        <f t="shared" ref="G276:G278" ca="1" si="59">IF(F276="","","/30")</f>
        <v/>
      </c>
      <c r="H276" s="6" t="str">
        <f t="shared" ca="1" si="57"/>
        <v/>
      </c>
      <c r="I276" s="5"/>
      <c r="J276" s="1"/>
    </row>
    <row r="277" spans="1:10" customFormat="1" ht="15.75" x14ac:dyDescent="0.25">
      <c r="A277" s="2"/>
      <c r="B277" s="2"/>
      <c r="C277" s="3" t="str">
        <f ca="1">IF(F277="","","C")</f>
        <v/>
      </c>
      <c r="D277" s="40" t="str">
        <f t="shared" ca="1" si="58"/>
        <v/>
      </c>
      <c r="E277" s="40"/>
      <c r="F277" s="3" t="str">
        <f ca="1">IF(SUMIF(tbl_ploegen,A275,Uitslagen_C)&gt;0,SUMIF(tbl_ploegen,A275,Uitslagen_C),"")</f>
        <v/>
      </c>
      <c r="G277" s="8" t="str">
        <f t="shared" ca="1" si="59"/>
        <v/>
      </c>
      <c r="H277" s="6" t="str">
        <f t="shared" ca="1" si="57"/>
        <v/>
      </c>
      <c r="I277" s="5"/>
      <c r="J277" s="196"/>
    </row>
    <row r="278" spans="1:10" customFormat="1" ht="16.5" x14ac:dyDescent="0.3">
      <c r="A278" s="2"/>
      <c r="B278" s="2"/>
      <c r="C278" s="3" t="str">
        <f ca="1">IF(F278="","","D")</f>
        <v/>
      </c>
      <c r="D278" s="40" t="str">
        <f t="shared" ca="1" si="58"/>
        <v/>
      </c>
      <c r="E278" s="40"/>
      <c r="F278" s="3" t="str">
        <f ca="1">IF(SUMIF(tbl_ploegen,A275,Uitslagen_D)&gt;0,SUMIF(tbl_ploegen,A275,Uitslagen_D),"")</f>
        <v/>
      </c>
      <c r="G278" s="8" t="str">
        <f t="shared" ca="1" si="59"/>
        <v/>
      </c>
      <c r="H278" s="6" t="str">
        <f t="shared" ca="1" si="57"/>
        <v/>
      </c>
      <c r="I278" s="7" t="s">
        <v>72</v>
      </c>
      <c r="J278" s="1"/>
    </row>
    <row r="279" spans="1:10" customFormat="1" ht="16.5" x14ac:dyDescent="0.3">
      <c r="A279" s="2"/>
      <c r="B279" s="2"/>
      <c r="C279" s="3" t="str">
        <f ca="1">IF(F279="","","E")</f>
        <v/>
      </c>
      <c r="D279" s="329" t="str">
        <f ca="1">IF(F279="","","ploeg")</f>
        <v/>
      </c>
      <c r="E279" s="329"/>
      <c r="F279" s="3" t="str">
        <f ca="1">IF(SUMIF(tbl_ploegen,A275,Uitslagen_E)&gt;0,SUMIF(tbl_ploegen,A275,Uitslagen_E),"")</f>
        <v/>
      </c>
      <c r="G279" s="8" t="str">
        <f ca="1">IF(F279="","","/30")</f>
        <v/>
      </c>
      <c r="H279" s="6" t="str">
        <f t="shared" ca="1" si="57"/>
        <v/>
      </c>
      <c r="I279" s="9">
        <f ca="1">SUM(H275:H280)</f>
        <v>0</v>
      </c>
      <c r="J279" s="1"/>
    </row>
    <row r="280" spans="1:10" customFormat="1" ht="16.5" x14ac:dyDescent="0.3">
      <c r="A280" s="2"/>
      <c r="B280" s="2"/>
      <c r="C280" s="3" t="str">
        <f ca="1">IF(F280="","","F")</f>
        <v>F</v>
      </c>
      <c r="D280" s="329" t="str">
        <f ca="1">IF(F280="","","ploeg")</f>
        <v>ploeg</v>
      </c>
      <c r="E280" s="329"/>
      <c r="F280" s="3">
        <f ca="1">IF(SUMIF(tbl_ploegen,A275,Uitslagen_F)&gt;0,SUMIF(tbl_ploegen,A275,Uitslagen_F),"")</f>
        <v>46174</v>
      </c>
      <c r="G280" s="8" t="str">
        <f ca="1">IF(F280="","","/30")</f>
        <v>/30</v>
      </c>
      <c r="H280" s="6">
        <f t="shared" ca="1" si="57"/>
        <v>0</v>
      </c>
      <c r="I280" s="196"/>
      <c r="J280" s="1"/>
    </row>
    <row r="281" spans="1:10" customFormat="1" ht="16.5" x14ac:dyDescent="0.3">
      <c r="A281" s="1"/>
      <c r="B281" s="1"/>
      <c r="C281" s="1"/>
      <c r="D281" s="41"/>
      <c r="E281" s="41"/>
      <c r="F281" s="41"/>
      <c r="G281" s="41"/>
      <c r="H281" s="55" t="str">
        <f>Ploegen!$C$1</f>
        <v>VRIENDENSCHIETING - LAREN</v>
      </c>
      <c r="I281" s="25">
        <f>Ploegen!$H$1</f>
        <v>46172</v>
      </c>
      <c r="J281" s="1"/>
    </row>
    <row r="282" spans="1:10" customFormat="1" ht="15.75" x14ac:dyDescent="0.25">
      <c r="A282" s="196"/>
      <c r="B282" s="196"/>
      <c r="C282" s="196"/>
      <c r="D282" s="196"/>
      <c r="E282" s="196"/>
      <c r="F282" s="196"/>
      <c r="G282" s="196"/>
      <c r="H282" s="55"/>
      <c r="I282" s="25"/>
      <c r="J282" s="40"/>
    </row>
    <row r="283" spans="1:10" customFormat="1" ht="16.5" x14ac:dyDescent="0.3">
      <c r="A283" s="2">
        <f>aantal_ploegen</f>
        <v>0</v>
      </c>
      <c r="B283" s="2" t="s">
        <v>69</v>
      </c>
      <c r="C283" s="3">
        <f>Aantal_30</f>
        <v>0</v>
      </c>
      <c r="D283" s="3">
        <v>30</v>
      </c>
      <c r="E283" s="197" t="s">
        <v>70</v>
      </c>
      <c r="F283" s="4">
        <f>Bedrag_per_ploeg_30</f>
        <v>0</v>
      </c>
      <c r="G283" s="196"/>
      <c r="H283" s="59"/>
      <c r="I283" s="1"/>
      <c r="J283" s="1"/>
    </row>
    <row r="284" spans="1:10" customFormat="1" ht="16.5" x14ac:dyDescent="0.3">
      <c r="A284" s="2"/>
      <c r="B284" s="2"/>
      <c r="C284" s="3">
        <f>Aantal_29</f>
        <v>0</v>
      </c>
      <c r="D284" s="3">
        <v>29</v>
      </c>
      <c r="E284" s="197" t="s">
        <v>70</v>
      </c>
      <c r="F284" s="4">
        <f>Bedrag_per_ploeg_29</f>
        <v>0</v>
      </c>
      <c r="G284" s="196"/>
      <c r="H284" s="59"/>
      <c r="I284" s="1"/>
      <c r="J284" s="1"/>
    </row>
    <row r="285" spans="1:10" customFormat="1" ht="16.5" x14ac:dyDescent="0.3">
      <c r="A285" s="2"/>
      <c r="B285" s="2"/>
      <c r="C285" s="3">
        <f>Aantal_28</f>
        <v>0</v>
      </c>
      <c r="D285" s="3">
        <v>28</v>
      </c>
      <c r="E285" s="197" t="s">
        <v>70</v>
      </c>
      <c r="F285" s="4">
        <f>Bedrag_per_ploeg_28</f>
        <v>0</v>
      </c>
      <c r="G285" s="4"/>
      <c r="H285" s="5"/>
      <c r="I285" s="1"/>
      <c r="J285" s="1"/>
    </row>
    <row r="286" spans="1:10" customFormat="1" ht="16.5" x14ac:dyDescent="0.3">
      <c r="A286" s="2"/>
      <c r="B286" s="2"/>
      <c r="C286" s="3" t="str">
        <f>IF(Bedrag_per_ploeg_27&gt;0,Aantal_27,"")</f>
        <v/>
      </c>
      <c r="D286" s="3" t="str">
        <f>IF(Bedrag_per_ploeg_27&gt;0,27,"")</f>
        <v/>
      </c>
      <c r="E286" s="197" t="str">
        <f>IF(Bedrag_per_ploeg_27&gt;0,"/30","")</f>
        <v/>
      </c>
      <c r="F286" s="4" t="str">
        <f>IF(Bedrag_per_ploeg_27&gt;0,Bedrag_per_ploeg_27,"")</f>
        <v/>
      </c>
      <c r="G286" s="4"/>
      <c r="H286" s="5"/>
      <c r="I286" s="2"/>
      <c r="J286" s="1"/>
    </row>
    <row r="287" spans="1:10" customFormat="1" ht="16.5" x14ac:dyDescent="0.3">
      <c r="A287" s="196"/>
      <c r="B287" s="196"/>
      <c r="C287" s="3" t="str">
        <f>IF(Bedrag_per_ploeg_26&gt;0,Aantal_26,"")</f>
        <v/>
      </c>
      <c r="D287" s="3" t="str">
        <f>IF(Bedrag_per_ploeg_26&gt;0,26,"")</f>
        <v/>
      </c>
      <c r="E287" s="197" t="str">
        <f>IF(Bedrag_per_ploeg_26&gt;0,"/30","")</f>
        <v/>
      </c>
      <c r="F287" s="4" t="str">
        <f>IF(Bedrag_per_ploeg_26&gt;0,Bedrag_per_ploeg_26,"")</f>
        <v/>
      </c>
      <c r="G287" s="4"/>
      <c r="H287" s="2"/>
      <c r="I287" s="2"/>
      <c r="J287" s="1"/>
    </row>
    <row r="288" spans="1:10" customFormat="1" ht="16.5" x14ac:dyDescent="0.3">
      <c r="A288" s="196"/>
      <c r="B288" s="196"/>
      <c r="C288" s="3" t="str">
        <f>IF(Bedrag_per_ploeg_25&gt;0,Aantal_25,"")</f>
        <v/>
      </c>
      <c r="D288" s="3" t="str">
        <f>IF(Bedrag_per_ploeg_25&gt;0,25,"")</f>
        <v/>
      </c>
      <c r="E288" s="197" t="str">
        <f>IF(Bedrag_per_ploeg_25&gt;0,"/30","")</f>
        <v/>
      </c>
      <c r="F288" s="4" t="str">
        <f>IF(Bedrag_per_ploeg_25&gt;0,Bedrag_per_ploeg_25,"")</f>
        <v/>
      </c>
      <c r="G288" s="4"/>
      <c r="H288" s="5"/>
      <c r="I288" s="2"/>
      <c r="J288" s="1"/>
    </row>
    <row r="289" spans="1:10" customFormat="1" ht="16.5" x14ac:dyDescent="0.3">
      <c r="A289" s="220" t="str" cm="1">
        <f t="array" aca="1" ref="A289" ca="1">IFERROR(
  INDEX(tbl_ploegen,SMALL(Ploegen!$AG$3:$AG$27,ROW(INDIRECT("A"&amp;(ROW()-9)/14+1)))-2,1),
  ""
)</f>
        <v/>
      </c>
      <c r="B289" s="56"/>
      <c r="C289" s="3" t="str">
        <f ca="1">IF(F289="","","A")</f>
        <v>A</v>
      </c>
      <c r="D289" s="40" t="s">
        <v>71</v>
      </c>
      <c r="E289" s="40"/>
      <c r="F289" s="3">
        <f ca="1">SUMIF(tbl_ploegen,A289,Uitslagen_A)</f>
        <v>0</v>
      </c>
      <c r="G289" s="197" t="s">
        <v>70</v>
      </c>
      <c r="H289" s="6">
        <f t="shared" ref="H289:H294" ca="1" si="60">IF(F289="","",IF(ISNA(VLOOKUP(F289,tbl_prijzen,13,FALSE)),0,VLOOKUP(F289,tbl_prijzen,13,FALSE)))</f>
        <v>0</v>
      </c>
      <c r="I289" s="2"/>
      <c r="J289" s="1"/>
    </row>
    <row r="290" spans="1:10" customFormat="1" ht="16.5" x14ac:dyDescent="0.3">
      <c r="A290" s="2"/>
      <c r="B290" s="2"/>
      <c r="C290" s="3" t="str">
        <f ca="1">IF(F290="","","B")</f>
        <v/>
      </c>
      <c r="D290" s="40" t="str">
        <f t="shared" ref="D290:D292" ca="1" si="61">IF(F290="","","ploeg")</f>
        <v/>
      </c>
      <c r="E290" s="40"/>
      <c r="F290" s="3" t="str">
        <f ca="1">IF(SUMIF(tbl_ploegen,A289,Uitslagen_B)&gt;0,SUMIF(tbl_ploegen,A289,Uitslagen_B),"")</f>
        <v/>
      </c>
      <c r="G290" s="8" t="str">
        <f t="shared" ref="G290:G292" ca="1" si="62">IF(F290="","","/30")</f>
        <v/>
      </c>
      <c r="H290" s="6" t="str">
        <f t="shared" ca="1" si="60"/>
        <v/>
      </c>
      <c r="I290" s="5"/>
      <c r="J290" s="1"/>
    </row>
    <row r="291" spans="1:10" customFormat="1" ht="15.75" x14ac:dyDescent="0.25">
      <c r="A291" s="2"/>
      <c r="B291" s="2"/>
      <c r="C291" s="3" t="str">
        <f ca="1">IF(F291="","","C")</f>
        <v/>
      </c>
      <c r="D291" s="40" t="str">
        <f t="shared" ca="1" si="61"/>
        <v/>
      </c>
      <c r="E291" s="40"/>
      <c r="F291" s="3" t="str">
        <f ca="1">IF(SUMIF(tbl_ploegen,A289,Uitslagen_C)&gt;0,SUMIF(tbl_ploegen,A289,Uitslagen_C),"")</f>
        <v/>
      </c>
      <c r="G291" s="8" t="str">
        <f t="shared" ca="1" si="62"/>
        <v/>
      </c>
      <c r="H291" s="6" t="str">
        <f t="shared" ca="1" si="60"/>
        <v/>
      </c>
      <c r="I291" s="5"/>
      <c r="J291" s="196"/>
    </row>
    <row r="292" spans="1:10" customFormat="1" ht="16.5" x14ac:dyDescent="0.3">
      <c r="A292" s="2"/>
      <c r="B292" s="2"/>
      <c r="C292" s="3" t="str">
        <f ca="1">IF(F292="","","D")</f>
        <v/>
      </c>
      <c r="D292" s="40" t="str">
        <f t="shared" ca="1" si="61"/>
        <v/>
      </c>
      <c r="E292" s="40"/>
      <c r="F292" s="3" t="str">
        <f ca="1">IF(SUMIF(tbl_ploegen,A289,Uitslagen_D)&gt;0,SUMIF(tbl_ploegen,A289,Uitslagen_D),"")</f>
        <v/>
      </c>
      <c r="G292" s="8" t="str">
        <f t="shared" ca="1" si="62"/>
        <v/>
      </c>
      <c r="H292" s="6" t="str">
        <f t="shared" ca="1" si="60"/>
        <v/>
      </c>
      <c r="I292" s="7" t="s">
        <v>72</v>
      </c>
      <c r="J292" s="1"/>
    </row>
    <row r="293" spans="1:10" customFormat="1" ht="16.5" x14ac:dyDescent="0.3">
      <c r="A293" s="2"/>
      <c r="B293" s="2"/>
      <c r="C293" s="3" t="str">
        <f ca="1">IF(F293="","","E")</f>
        <v/>
      </c>
      <c r="D293" s="329" t="str">
        <f ca="1">IF(F293="","","ploeg")</f>
        <v/>
      </c>
      <c r="E293" s="329"/>
      <c r="F293" s="3" t="str">
        <f ca="1">IF(SUMIF(tbl_ploegen,A289,Uitslagen_E)&gt;0,SUMIF(tbl_ploegen,A289,Uitslagen_E),"")</f>
        <v/>
      </c>
      <c r="G293" s="8" t="str">
        <f ca="1">IF(F293="","","/30")</f>
        <v/>
      </c>
      <c r="H293" s="6" t="str">
        <f t="shared" ca="1" si="60"/>
        <v/>
      </c>
      <c r="I293" s="9">
        <f ca="1">SUM(H289:H294)</f>
        <v>0</v>
      </c>
      <c r="J293" s="1"/>
    </row>
    <row r="294" spans="1:10" customFormat="1" ht="16.5" x14ac:dyDescent="0.3">
      <c r="A294" s="2"/>
      <c r="B294" s="2"/>
      <c r="C294" s="3" t="str">
        <f ca="1">IF(F294="","","F")</f>
        <v>F</v>
      </c>
      <c r="D294" s="329" t="str">
        <f ca="1">IF(F294="","","ploeg")</f>
        <v>ploeg</v>
      </c>
      <c r="E294" s="329"/>
      <c r="F294" s="3">
        <f ca="1">IF(SUMIF(tbl_ploegen,A289,Uitslagen_F)&gt;0,SUMIF(tbl_ploegen,A289,Uitslagen_F),"")</f>
        <v>46174</v>
      </c>
      <c r="G294" s="8" t="str">
        <f ca="1">IF(F294="","","/30")</f>
        <v>/30</v>
      </c>
      <c r="H294" s="6">
        <f t="shared" ca="1" si="60"/>
        <v>0</v>
      </c>
      <c r="I294" s="196"/>
      <c r="J294" s="1"/>
    </row>
    <row r="295" spans="1:10" customFormat="1" ht="16.5" x14ac:dyDescent="0.3">
      <c r="A295" s="1"/>
      <c r="B295" s="1"/>
      <c r="C295" s="1"/>
      <c r="D295" s="41"/>
      <c r="E295" s="41"/>
      <c r="F295" s="41"/>
      <c r="G295" s="41"/>
      <c r="H295" s="55" t="str">
        <f>Ploegen!$C$1</f>
        <v>VRIENDENSCHIETING - LAREN</v>
      </c>
      <c r="I295" s="25">
        <f>Ploegen!$H$1</f>
        <v>46172</v>
      </c>
      <c r="J295" s="1"/>
    </row>
    <row r="296" spans="1:10" customFormat="1" ht="15.75" x14ac:dyDescent="0.25">
      <c r="A296" s="196"/>
      <c r="B296" s="196"/>
      <c r="C296" s="196"/>
      <c r="D296" s="196"/>
      <c r="E296" s="196"/>
      <c r="F296" s="196"/>
      <c r="G296" s="196"/>
      <c r="H296" s="55"/>
      <c r="I296" s="25"/>
      <c r="J296" s="40"/>
    </row>
    <row r="297" spans="1:10" customFormat="1" ht="16.5" x14ac:dyDescent="0.3">
      <c r="A297" s="2">
        <f>aantal_ploegen</f>
        <v>0</v>
      </c>
      <c r="B297" s="2" t="s">
        <v>69</v>
      </c>
      <c r="C297" s="3">
        <f>Aantal_30</f>
        <v>0</v>
      </c>
      <c r="D297" s="3">
        <v>30</v>
      </c>
      <c r="E297" s="197" t="s">
        <v>70</v>
      </c>
      <c r="F297" s="4">
        <f>Bedrag_per_ploeg_30</f>
        <v>0</v>
      </c>
      <c r="G297" s="196"/>
      <c r="H297" s="59"/>
      <c r="I297" s="1"/>
      <c r="J297" s="1"/>
    </row>
    <row r="298" spans="1:10" customFormat="1" ht="16.5" x14ac:dyDescent="0.3">
      <c r="A298" s="2"/>
      <c r="B298" s="2"/>
      <c r="C298" s="3">
        <f>Aantal_29</f>
        <v>0</v>
      </c>
      <c r="D298" s="3">
        <v>29</v>
      </c>
      <c r="E298" s="197" t="s">
        <v>70</v>
      </c>
      <c r="F298" s="4">
        <f>Bedrag_per_ploeg_29</f>
        <v>0</v>
      </c>
      <c r="G298" s="196"/>
      <c r="H298" s="59"/>
      <c r="I298" s="1"/>
      <c r="J298" s="1"/>
    </row>
    <row r="299" spans="1:10" customFormat="1" ht="16.5" x14ac:dyDescent="0.3">
      <c r="A299" s="2"/>
      <c r="B299" s="2"/>
      <c r="C299" s="3">
        <f>Aantal_28</f>
        <v>0</v>
      </c>
      <c r="D299" s="3">
        <v>28</v>
      </c>
      <c r="E299" s="197" t="s">
        <v>70</v>
      </c>
      <c r="F299" s="4">
        <f>Bedrag_per_ploeg_28</f>
        <v>0</v>
      </c>
      <c r="G299" s="4"/>
      <c r="H299" s="5"/>
      <c r="I299" s="1"/>
      <c r="J299" s="1"/>
    </row>
    <row r="300" spans="1:10" customFormat="1" ht="16.5" x14ac:dyDescent="0.3">
      <c r="A300" s="2"/>
      <c r="B300" s="2"/>
      <c r="C300" s="3" t="str">
        <f>IF(Bedrag_per_ploeg_27&gt;0,Aantal_27,"")</f>
        <v/>
      </c>
      <c r="D300" s="3" t="str">
        <f>IF(Bedrag_per_ploeg_27&gt;0,27,"")</f>
        <v/>
      </c>
      <c r="E300" s="197" t="str">
        <f>IF(Bedrag_per_ploeg_27&gt;0,"/30","")</f>
        <v/>
      </c>
      <c r="F300" s="4" t="str">
        <f>IF(Bedrag_per_ploeg_27&gt;0,Bedrag_per_ploeg_27,"")</f>
        <v/>
      </c>
      <c r="G300" s="4"/>
      <c r="H300" s="5"/>
      <c r="I300" s="2"/>
      <c r="J300" s="1"/>
    </row>
    <row r="301" spans="1:10" customFormat="1" ht="16.5" x14ac:dyDescent="0.3">
      <c r="A301" s="196"/>
      <c r="B301" s="196"/>
      <c r="C301" s="3" t="str">
        <f>IF(Bedrag_per_ploeg_26&gt;0,Aantal_26,"")</f>
        <v/>
      </c>
      <c r="D301" s="3" t="str">
        <f>IF(Bedrag_per_ploeg_26&gt;0,26,"")</f>
        <v/>
      </c>
      <c r="E301" s="197" t="str">
        <f>IF(Bedrag_per_ploeg_26&gt;0,"/30","")</f>
        <v/>
      </c>
      <c r="F301" s="4" t="str">
        <f>IF(Bedrag_per_ploeg_26&gt;0,Bedrag_per_ploeg_26,"")</f>
        <v/>
      </c>
      <c r="G301" s="4"/>
      <c r="H301" s="2"/>
      <c r="I301" s="2"/>
      <c r="J301" s="1"/>
    </row>
    <row r="302" spans="1:10" customFormat="1" ht="16.5" x14ac:dyDescent="0.3">
      <c r="A302" s="196"/>
      <c r="B302" s="196"/>
      <c r="C302" s="3" t="str">
        <f>IF(Bedrag_per_ploeg_25&gt;0,Aantal_25,"")</f>
        <v/>
      </c>
      <c r="D302" s="3" t="str">
        <f>IF(Bedrag_per_ploeg_25&gt;0,25,"")</f>
        <v/>
      </c>
      <c r="E302" s="197" t="str">
        <f>IF(Bedrag_per_ploeg_25&gt;0,"/30","")</f>
        <v/>
      </c>
      <c r="F302" s="4" t="str">
        <f>IF(Bedrag_per_ploeg_25&gt;0,Bedrag_per_ploeg_25,"")</f>
        <v/>
      </c>
      <c r="G302" s="4"/>
      <c r="H302" s="5"/>
      <c r="I302" s="2"/>
      <c r="J302" s="1"/>
    </row>
    <row r="303" spans="1:10" customFormat="1" ht="16.5" x14ac:dyDescent="0.3">
      <c r="A303" s="220" t="str" cm="1">
        <f t="array" aca="1" ref="A303" ca="1">IFERROR(
  INDEX(tbl_ploegen,SMALL(Ploegen!$AG$3:$AG$27,ROW(INDIRECT("A"&amp;(ROW()-9)/14+1)))-2,1),
  ""
)</f>
        <v/>
      </c>
      <c r="B303" s="56"/>
      <c r="C303" s="3" t="str">
        <f ca="1">IF(F303="","","A")</f>
        <v>A</v>
      </c>
      <c r="D303" s="40" t="s">
        <v>71</v>
      </c>
      <c r="E303" s="40"/>
      <c r="F303" s="3">
        <f ca="1">SUMIF(tbl_ploegen,A303,Uitslagen_A)</f>
        <v>0</v>
      </c>
      <c r="G303" s="197" t="s">
        <v>70</v>
      </c>
      <c r="H303" s="6">
        <f t="shared" ref="H303:H308" ca="1" si="63">IF(F303="","",IF(ISNA(VLOOKUP(F303,tbl_prijzen,13,FALSE)),0,VLOOKUP(F303,tbl_prijzen,13,FALSE)))</f>
        <v>0</v>
      </c>
      <c r="I303" s="2"/>
      <c r="J303" s="1"/>
    </row>
    <row r="304" spans="1:10" customFormat="1" ht="16.5" x14ac:dyDescent="0.3">
      <c r="A304" s="2"/>
      <c r="B304" s="2"/>
      <c r="C304" s="3" t="str">
        <f ca="1">IF(F304="","","B")</f>
        <v/>
      </c>
      <c r="D304" s="40" t="str">
        <f t="shared" ref="D304:D306" ca="1" si="64">IF(F304="","","ploeg")</f>
        <v/>
      </c>
      <c r="E304" s="40"/>
      <c r="F304" s="3" t="str">
        <f ca="1">IF(SUMIF(tbl_ploegen,A303,Uitslagen_B)&gt;0,SUMIF(tbl_ploegen,A303,Uitslagen_B),"")</f>
        <v/>
      </c>
      <c r="G304" s="8" t="str">
        <f t="shared" ref="G304:G306" ca="1" si="65">IF(F304="","","/30")</f>
        <v/>
      </c>
      <c r="H304" s="6" t="str">
        <f t="shared" ca="1" si="63"/>
        <v/>
      </c>
      <c r="I304" s="5"/>
      <c r="J304" s="1"/>
    </row>
    <row r="305" spans="1:10" customFormat="1" ht="15.75" x14ac:dyDescent="0.25">
      <c r="A305" s="2"/>
      <c r="B305" s="2"/>
      <c r="C305" s="3" t="str">
        <f ca="1">IF(F305="","","C")</f>
        <v/>
      </c>
      <c r="D305" s="40" t="str">
        <f t="shared" ca="1" si="64"/>
        <v/>
      </c>
      <c r="E305" s="40"/>
      <c r="F305" s="3" t="str">
        <f ca="1">IF(SUMIF(tbl_ploegen,A303,Uitslagen_C)&gt;0,SUMIF(tbl_ploegen,A303,Uitslagen_C),"")</f>
        <v/>
      </c>
      <c r="G305" s="8" t="str">
        <f t="shared" ca="1" si="65"/>
        <v/>
      </c>
      <c r="H305" s="6" t="str">
        <f t="shared" ca="1" si="63"/>
        <v/>
      </c>
      <c r="I305" s="5"/>
      <c r="J305" s="196"/>
    </row>
    <row r="306" spans="1:10" customFormat="1" ht="16.5" x14ac:dyDescent="0.3">
      <c r="A306" s="2"/>
      <c r="B306" s="2"/>
      <c r="C306" s="3" t="str">
        <f ca="1">IF(F306="","","D")</f>
        <v/>
      </c>
      <c r="D306" s="40" t="str">
        <f t="shared" ca="1" si="64"/>
        <v/>
      </c>
      <c r="E306" s="40"/>
      <c r="F306" s="3" t="str">
        <f ca="1">IF(SUMIF(tbl_ploegen,A303,Uitslagen_D)&gt;0,SUMIF(tbl_ploegen,A303,Uitslagen_D),"")</f>
        <v/>
      </c>
      <c r="G306" s="8" t="str">
        <f t="shared" ca="1" si="65"/>
        <v/>
      </c>
      <c r="H306" s="6" t="str">
        <f t="shared" ca="1" si="63"/>
        <v/>
      </c>
      <c r="I306" s="7" t="s">
        <v>72</v>
      </c>
      <c r="J306" s="1"/>
    </row>
    <row r="307" spans="1:10" customFormat="1" ht="16.5" x14ac:dyDescent="0.3">
      <c r="A307" s="2"/>
      <c r="B307" s="2"/>
      <c r="C307" s="3" t="str">
        <f ca="1">IF(F307="","","E")</f>
        <v/>
      </c>
      <c r="D307" s="329" t="str">
        <f ca="1">IF(F307="","","ploeg")</f>
        <v/>
      </c>
      <c r="E307" s="329"/>
      <c r="F307" s="3" t="str">
        <f ca="1">IF(SUMIF(tbl_ploegen,A303,Uitslagen_E)&gt;0,SUMIF(tbl_ploegen,A303,Uitslagen_E),"")</f>
        <v/>
      </c>
      <c r="G307" s="8" t="str">
        <f ca="1">IF(F307="","","/30")</f>
        <v/>
      </c>
      <c r="H307" s="6" t="str">
        <f t="shared" ca="1" si="63"/>
        <v/>
      </c>
      <c r="I307" s="9">
        <f ca="1">SUM(H303:H308)</f>
        <v>0</v>
      </c>
      <c r="J307" s="1"/>
    </row>
    <row r="308" spans="1:10" customFormat="1" ht="16.5" x14ac:dyDescent="0.3">
      <c r="A308" s="2"/>
      <c r="B308" s="2"/>
      <c r="C308" s="3" t="str">
        <f ca="1">IF(F308="","","F")</f>
        <v>F</v>
      </c>
      <c r="D308" s="329" t="str">
        <f ca="1">IF(F308="","","ploeg")</f>
        <v>ploeg</v>
      </c>
      <c r="E308" s="329"/>
      <c r="F308" s="3">
        <f ca="1">IF(SUMIF(tbl_ploegen,A303,Uitslagen_F)&gt;0,SUMIF(tbl_ploegen,A303,Uitslagen_F),"")</f>
        <v>46174</v>
      </c>
      <c r="G308" s="8" t="str">
        <f ca="1">IF(F308="","","/30")</f>
        <v>/30</v>
      </c>
      <c r="H308" s="6">
        <f t="shared" ca="1" si="63"/>
        <v>0</v>
      </c>
      <c r="I308" s="196"/>
      <c r="J308" s="1"/>
    </row>
    <row r="309" spans="1:10" customFormat="1" ht="16.5" x14ac:dyDescent="0.3">
      <c r="A309" s="1"/>
      <c r="B309" s="1"/>
      <c r="C309" s="1"/>
      <c r="D309" s="41"/>
      <c r="E309" s="41"/>
      <c r="F309" s="41"/>
      <c r="G309" s="41"/>
      <c r="H309" s="55" t="str">
        <f>Ploegen!$C$1</f>
        <v>VRIENDENSCHIETING - LAREN</v>
      </c>
      <c r="I309" s="25">
        <f>Ploegen!$H$1</f>
        <v>46172</v>
      </c>
      <c r="J309" s="1"/>
    </row>
    <row r="310" spans="1:10" customFormat="1" ht="15.75" x14ac:dyDescent="0.25">
      <c r="A310" s="196"/>
      <c r="B310" s="196"/>
      <c r="C310" s="196"/>
      <c r="D310" s="196"/>
      <c r="E310" s="196"/>
      <c r="F310" s="196"/>
      <c r="G310" s="196"/>
      <c r="H310" s="55"/>
      <c r="I310" s="25"/>
      <c r="J310" s="40"/>
    </row>
    <row r="311" spans="1:10" customFormat="1" ht="16.5" x14ac:dyDescent="0.3">
      <c r="A311" s="2">
        <f>aantal_ploegen</f>
        <v>0</v>
      </c>
      <c r="B311" s="2" t="s">
        <v>69</v>
      </c>
      <c r="C311" s="3">
        <f>Aantal_30</f>
        <v>0</v>
      </c>
      <c r="D311" s="3">
        <v>30</v>
      </c>
      <c r="E311" s="197" t="s">
        <v>70</v>
      </c>
      <c r="F311" s="4">
        <f>Bedrag_per_ploeg_30</f>
        <v>0</v>
      </c>
      <c r="G311" s="196"/>
      <c r="H311" s="59"/>
      <c r="I311" s="1"/>
      <c r="J311" s="1"/>
    </row>
    <row r="312" spans="1:10" customFormat="1" ht="16.5" x14ac:dyDescent="0.3">
      <c r="A312" s="2"/>
      <c r="B312" s="2"/>
      <c r="C312" s="3">
        <f>Aantal_29</f>
        <v>0</v>
      </c>
      <c r="D312" s="3">
        <v>29</v>
      </c>
      <c r="E312" s="197" t="s">
        <v>70</v>
      </c>
      <c r="F312" s="4">
        <f>Bedrag_per_ploeg_29</f>
        <v>0</v>
      </c>
      <c r="G312" s="196"/>
      <c r="H312" s="59"/>
      <c r="I312" s="1"/>
      <c r="J312" s="1"/>
    </row>
    <row r="313" spans="1:10" customFormat="1" ht="16.5" x14ac:dyDescent="0.3">
      <c r="A313" s="2"/>
      <c r="B313" s="2"/>
      <c r="C313" s="3">
        <f>Aantal_28</f>
        <v>0</v>
      </c>
      <c r="D313" s="3">
        <v>28</v>
      </c>
      <c r="E313" s="197" t="s">
        <v>70</v>
      </c>
      <c r="F313" s="4">
        <f>Bedrag_per_ploeg_28</f>
        <v>0</v>
      </c>
      <c r="G313" s="4"/>
      <c r="H313" s="5"/>
      <c r="I313" s="1"/>
      <c r="J313" s="1"/>
    </row>
    <row r="314" spans="1:10" customFormat="1" ht="16.5" x14ac:dyDescent="0.3">
      <c r="A314" s="2"/>
      <c r="B314" s="2"/>
      <c r="C314" s="3" t="str">
        <f>IF(Bedrag_per_ploeg_27&gt;0,Aantal_27,"")</f>
        <v/>
      </c>
      <c r="D314" s="3" t="str">
        <f>IF(Bedrag_per_ploeg_27&gt;0,27,"")</f>
        <v/>
      </c>
      <c r="E314" s="197" t="str">
        <f>IF(Bedrag_per_ploeg_27&gt;0,"/30","")</f>
        <v/>
      </c>
      <c r="F314" s="4" t="str">
        <f>IF(Bedrag_per_ploeg_27&gt;0,Bedrag_per_ploeg_27,"")</f>
        <v/>
      </c>
      <c r="G314" s="4"/>
      <c r="H314" s="5"/>
      <c r="I314" s="2"/>
      <c r="J314" s="1"/>
    </row>
    <row r="315" spans="1:10" customFormat="1" ht="16.5" x14ac:dyDescent="0.3">
      <c r="A315" s="196"/>
      <c r="B315" s="196"/>
      <c r="C315" s="3" t="str">
        <f>IF(Bedrag_per_ploeg_26&gt;0,Aantal_26,"")</f>
        <v/>
      </c>
      <c r="D315" s="3" t="str">
        <f>IF(Bedrag_per_ploeg_26&gt;0,26,"")</f>
        <v/>
      </c>
      <c r="E315" s="197" t="str">
        <f>IF(Bedrag_per_ploeg_26&gt;0,"/30","")</f>
        <v/>
      </c>
      <c r="F315" s="4" t="str">
        <f>IF(Bedrag_per_ploeg_26&gt;0,Bedrag_per_ploeg_26,"")</f>
        <v/>
      </c>
      <c r="G315" s="4"/>
      <c r="H315" s="2"/>
      <c r="I315" s="2"/>
      <c r="J315" s="1"/>
    </row>
    <row r="316" spans="1:10" customFormat="1" ht="16.5" x14ac:dyDescent="0.3">
      <c r="A316" s="196"/>
      <c r="B316" s="196"/>
      <c r="C316" s="3" t="str">
        <f>IF(Bedrag_per_ploeg_25&gt;0,Aantal_25,"")</f>
        <v/>
      </c>
      <c r="D316" s="3" t="str">
        <f>IF(Bedrag_per_ploeg_25&gt;0,25,"")</f>
        <v/>
      </c>
      <c r="E316" s="197" t="str">
        <f>IF(Bedrag_per_ploeg_25&gt;0,"/30","")</f>
        <v/>
      </c>
      <c r="F316" s="4" t="str">
        <f>IF(Bedrag_per_ploeg_25&gt;0,Bedrag_per_ploeg_25,"")</f>
        <v/>
      </c>
      <c r="G316" s="4"/>
      <c r="H316" s="5"/>
      <c r="I316" s="2"/>
      <c r="J316" s="1"/>
    </row>
    <row r="317" spans="1:10" customFormat="1" ht="16.5" x14ac:dyDescent="0.3">
      <c r="A317" s="220" t="str" cm="1">
        <f t="array" aca="1" ref="A317" ca="1">IFERROR(
  INDEX(tbl_ploegen,SMALL(Ploegen!$AG$3:$AG$27,ROW(INDIRECT("A"&amp;(ROW()-9)/14+1)))-2,1),
  ""
)</f>
        <v/>
      </c>
      <c r="B317" s="56"/>
      <c r="C317" s="3" t="str">
        <f ca="1">IF(F317="","","A")</f>
        <v>A</v>
      </c>
      <c r="D317" s="40" t="s">
        <v>71</v>
      </c>
      <c r="E317" s="40"/>
      <c r="F317" s="3">
        <f ca="1">SUMIF(tbl_ploegen,A317,Uitslagen_A)</f>
        <v>0</v>
      </c>
      <c r="G317" s="197" t="s">
        <v>70</v>
      </c>
      <c r="H317" s="6">
        <f t="shared" ref="H317:H322" ca="1" si="66">IF(F317="","",IF(ISNA(VLOOKUP(F317,tbl_prijzen,13,FALSE)),0,VLOOKUP(F317,tbl_prijzen,13,FALSE)))</f>
        <v>0</v>
      </c>
      <c r="I317" s="2"/>
      <c r="J317" s="1"/>
    </row>
    <row r="318" spans="1:10" customFormat="1" ht="16.5" x14ac:dyDescent="0.3">
      <c r="A318" s="2"/>
      <c r="B318" s="2"/>
      <c r="C318" s="3" t="str">
        <f ca="1">IF(F318="","","B")</f>
        <v/>
      </c>
      <c r="D318" s="40" t="str">
        <f t="shared" ref="D318:D320" ca="1" si="67">IF(F318="","","ploeg")</f>
        <v/>
      </c>
      <c r="E318" s="40"/>
      <c r="F318" s="3" t="str">
        <f ca="1">IF(SUMIF(tbl_ploegen,A317,Uitslagen_B)&gt;0,SUMIF(tbl_ploegen,A317,Uitslagen_B),"")</f>
        <v/>
      </c>
      <c r="G318" s="8" t="str">
        <f t="shared" ref="G318:G320" ca="1" si="68">IF(F318="","","/30")</f>
        <v/>
      </c>
      <c r="H318" s="6" t="str">
        <f t="shared" ca="1" si="66"/>
        <v/>
      </c>
      <c r="I318" s="5"/>
      <c r="J318" s="1"/>
    </row>
    <row r="319" spans="1:10" customFormat="1" ht="15.75" x14ac:dyDescent="0.25">
      <c r="A319" s="2"/>
      <c r="B319" s="2"/>
      <c r="C319" s="3" t="str">
        <f ca="1">IF(F319="","","C")</f>
        <v/>
      </c>
      <c r="D319" s="40" t="str">
        <f t="shared" ca="1" si="67"/>
        <v/>
      </c>
      <c r="E319" s="40"/>
      <c r="F319" s="3" t="str">
        <f ca="1">IF(SUMIF(tbl_ploegen,A317,Uitslagen_C)&gt;0,SUMIF(tbl_ploegen,A317,Uitslagen_C),"")</f>
        <v/>
      </c>
      <c r="G319" s="8" t="str">
        <f t="shared" ca="1" si="68"/>
        <v/>
      </c>
      <c r="H319" s="6" t="str">
        <f t="shared" ca="1" si="66"/>
        <v/>
      </c>
      <c r="I319" s="5"/>
      <c r="J319" s="196"/>
    </row>
    <row r="320" spans="1:10" customFormat="1" ht="16.5" x14ac:dyDescent="0.3">
      <c r="A320" s="2"/>
      <c r="B320" s="2"/>
      <c r="C320" s="3" t="str">
        <f ca="1">IF(F320="","","D")</f>
        <v/>
      </c>
      <c r="D320" s="40" t="str">
        <f t="shared" ca="1" si="67"/>
        <v/>
      </c>
      <c r="E320" s="40"/>
      <c r="F320" s="3" t="str">
        <f ca="1">IF(SUMIF(tbl_ploegen,A317,Uitslagen_D)&gt;0,SUMIF(tbl_ploegen,A317,Uitslagen_D),"")</f>
        <v/>
      </c>
      <c r="G320" s="8" t="str">
        <f t="shared" ca="1" si="68"/>
        <v/>
      </c>
      <c r="H320" s="6" t="str">
        <f t="shared" ca="1" si="66"/>
        <v/>
      </c>
      <c r="I320" s="7" t="s">
        <v>72</v>
      </c>
      <c r="J320" s="1"/>
    </row>
    <row r="321" spans="1:10" customFormat="1" ht="16.5" x14ac:dyDescent="0.3">
      <c r="A321" s="2"/>
      <c r="B321" s="2"/>
      <c r="C321" s="3" t="str">
        <f ca="1">IF(F321="","","E")</f>
        <v/>
      </c>
      <c r="D321" s="329" t="str">
        <f ca="1">IF(F321="","","ploeg")</f>
        <v/>
      </c>
      <c r="E321" s="329"/>
      <c r="F321" s="3" t="str">
        <f ca="1">IF(SUMIF(tbl_ploegen,A317,Uitslagen_E)&gt;0,SUMIF(tbl_ploegen,A317,Uitslagen_E),"")</f>
        <v/>
      </c>
      <c r="G321" s="8" t="str">
        <f ca="1">IF(F321="","","/30")</f>
        <v/>
      </c>
      <c r="H321" s="6" t="str">
        <f t="shared" ca="1" si="66"/>
        <v/>
      </c>
      <c r="I321" s="9">
        <f ca="1">SUM(H317:H322)</f>
        <v>0</v>
      </c>
      <c r="J321" s="1"/>
    </row>
    <row r="322" spans="1:10" customFormat="1" ht="16.5" x14ac:dyDescent="0.3">
      <c r="A322" s="2"/>
      <c r="B322" s="2"/>
      <c r="C322" s="3" t="str">
        <f ca="1">IF(F322="","","F")</f>
        <v>F</v>
      </c>
      <c r="D322" s="329" t="str">
        <f ca="1">IF(F322="","","ploeg")</f>
        <v>ploeg</v>
      </c>
      <c r="E322" s="329"/>
      <c r="F322" s="3">
        <f ca="1">IF(SUMIF(tbl_ploegen,A317,Uitslagen_F)&gt;0,SUMIF(tbl_ploegen,A317,Uitslagen_F),"")</f>
        <v>46174</v>
      </c>
      <c r="G322" s="8" t="str">
        <f ca="1">IF(F322="","","/30")</f>
        <v>/30</v>
      </c>
      <c r="H322" s="6">
        <f t="shared" ca="1" si="66"/>
        <v>0</v>
      </c>
      <c r="I322" s="196"/>
      <c r="J322" s="1"/>
    </row>
    <row r="323" spans="1:10" customFormat="1" ht="16.5" x14ac:dyDescent="0.3">
      <c r="A323" s="1"/>
      <c r="B323" s="1"/>
      <c r="C323" s="1"/>
      <c r="D323" s="41"/>
      <c r="E323" s="41"/>
      <c r="F323" s="41"/>
      <c r="G323" s="41"/>
      <c r="H323" s="55" t="str">
        <f>Ploegen!$C$1</f>
        <v>VRIENDENSCHIETING - LAREN</v>
      </c>
      <c r="I323" s="25">
        <f>Ploegen!$H$1</f>
        <v>46172</v>
      </c>
      <c r="J323" s="1"/>
    </row>
    <row r="324" spans="1:10" customFormat="1" ht="15.75" x14ac:dyDescent="0.25">
      <c r="A324" s="196"/>
      <c r="B324" s="196"/>
      <c r="C324" s="196"/>
      <c r="D324" s="196"/>
      <c r="E324" s="196"/>
      <c r="F324" s="196"/>
      <c r="G324" s="196"/>
      <c r="H324" s="55"/>
      <c r="I324" s="25"/>
      <c r="J324" s="40"/>
    </row>
    <row r="325" spans="1:10" customFormat="1" ht="16.5" x14ac:dyDescent="0.3">
      <c r="A325" s="2">
        <f>aantal_ploegen</f>
        <v>0</v>
      </c>
      <c r="B325" s="2" t="s">
        <v>69</v>
      </c>
      <c r="C325" s="3">
        <f>Aantal_30</f>
        <v>0</v>
      </c>
      <c r="D325" s="3">
        <v>30</v>
      </c>
      <c r="E325" s="197" t="s">
        <v>70</v>
      </c>
      <c r="F325" s="4">
        <f>Bedrag_per_ploeg_30</f>
        <v>0</v>
      </c>
      <c r="G325" s="196"/>
      <c r="H325" s="59"/>
      <c r="I325" s="1"/>
      <c r="J325" s="1"/>
    </row>
    <row r="326" spans="1:10" customFormat="1" ht="16.5" x14ac:dyDescent="0.3">
      <c r="A326" s="2"/>
      <c r="B326" s="2"/>
      <c r="C326" s="3">
        <f>Aantal_29</f>
        <v>0</v>
      </c>
      <c r="D326" s="3">
        <v>29</v>
      </c>
      <c r="E326" s="197" t="s">
        <v>70</v>
      </c>
      <c r="F326" s="4">
        <f>Bedrag_per_ploeg_29</f>
        <v>0</v>
      </c>
      <c r="G326" s="196"/>
      <c r="H326" s="59"/>
      <c r="I326" s="1"/>
      <c r="J326" s="1"/>
    </row>
    <row r="327" spans="1:10" customFormat="1" ht="16.5" x14ac:dyDescent="0.3">
      <c r="A327" s="2"/>
      <c r="B327" s="2"/>
      <c r="C327" s="3">
        <f>Aantal_28</f>
        <v>0</v>
      </c>
      <c r="D327" s="3">
        <v>28</v>
      </c>
      <c r="E327" s="197" t="s">
        <v>70</v>
      </c>
      <c r="F327" s="4">
        <f>Bedrag_per_ploeg_28</f>
        <v>0</v>
      </c>
      <c r="G327" s="4"/>
      <c r="H327" s="5"/>
      <c r="I327" s="1"/>
      <c r="J327" s="1"/>
    </row>
    <row r="328" spans="1:10" customFormat="1" ht="16.5" x14ac:dyDescent="0.3">
      <c r="A328" s="2"/>
      <c r="B328" s="2"/>
      <c r="C328" s="3" t="str">
        <f>IF(Bedrag_per_ploeg_27&gt;0,Aantal_27,"")</f>
        <v/>
      </c>
      <c r="D328" s="3" t="str">
        <f>IF(Bedrag_per_ploeg_27&gt;0,27,"")</f>
        <v/>
      </c>
      <c r="E328" s="197" t="str">
        <f>IF(Bedrag_per_ploeg_27&gt;0,"/30","")</f>
        <v/>
      </c>
      <c r="F328" s="4" t="str">
        <f>IF(Bedrag_per_ploeg_27&gt;0,Bedrag_per_ploeg_27,"")</f>
        <v/>
      </c>
      <c r="G328" s="4"/>
      <c r="H328" s="5"/>
      <c r="I328" s="2"/>
      <c r="J328" s="1"/>
    </row>
    <row r="329" spans="1:10" customFormat="1" ht="16.5" x14ac:dyDescent="0.3">
      <c r="A329" s="196"/>
      <c r="B329" s="196"/>
      <c r="C329" s="3" t="str">
        <f>IF(Bedrag_per_ploeg_26&gt;0,Aantal_26,"")</f>
        <v/>
      </c>
      <c r="D329" s="3" t="str">
        <f>IF(Bedrag_per_ploeg_26&gt;0,26,"")</f>
        <v/>
      </c>
      <c r="E329" s="197" t="str">
        <f>IF(Bedrag_per_ploeg_26&gt;0,"/30","")</f>
        <v/>
      </c>
      <c r="F329" s="4" t="str">
        <f>IF(Bedrag_per_ploeg_26&gt;0,Bedrag_per_ploeg_26,"")</f>
        <v/>
      </c>
      <c r="G329" s="4"/>
      <c r="H329" s="2"/>
      <c r="I329" s="2"/>
      <c r="J329" s="1"/>
    </row>
    <row r="330" spans="1:10" customFormat="1" ht="16.5" x14ac:dyDescent="0.3">
      <c r="A330" s="196"/>
      <c r="B330" s="196"/>
      <c r="C330" s="3" t="str">
        <f>IF(Bedrag_per_ploeg_25&gt;0,Aantal_25,"")</f>
        <v/>
      </c>
      <c r="D330" s="3" t="str">
        <f>IF(Bedrag_per_ploeg_25&gt;0,25,"")</f>
        <v/>
      </c>
      <c r="E330" s="197" t="str">
        <f>IF(Bedrag_per_ploeg_25&gt;0,"/30","")</f>
        <v/>
      </c>
      <c r="F330" s="4" t="str">
        <f>IF(Bedrag_per_ploeg_25&gt;0,Bedrag_per_ploeg_25,"")</f>
        <v/>
      </c>
      <c r="G330" s="4"/>
      <c r="H330" s="5"/>
      <c r="I330" s="2"/>
      <c r="J330" s="1"/>
    </row>
    <row r="331" spans="1:10" customFormat="1" ht="16.5" x14ac:dyDescent="0.3">
      <c r="A331" s="220" t="str" cm="1">
        <f t="array" aca="1" ref="A331" ca="1">IFERROR(
  INDEX(tbl_ploegen,SMALL(Ploegen!$AG$3:$AG$27,ROW(INDIRECT("A"&amp;(ROW()-9)/14+1)))-2,1),
  ""
)</f>
        <v/>
      </c>
      <c r="B331" s="56"/>
      <c r="C331" s="3" t="str">
        <f ca="1">IF(F331="","","A")</f>
        <v>A</v>
      </c>
      <c r="D331" s="40" t="s">
        <v>71</v>
      </c>
      <c r="E331" s="40"/>
      <c r="F331" s="3">
        <f ca="1">SUMIF(tbl_ploegen,A331,Uitslagen_A)</f>
        <v>0</v>
      </c>
      <c r="G331" s="197" t="s">
        <v>70</v>
      </c>
      <c r="H331" s="6">
        <f t="shared" ref="H331:H336" ca="1" si="69">IF(F331="","",IF(ISNA(VLOOKUP(F331,tbl_prijzen,13,FALSE)),0,VLOOKUP(F331,tbl_prijzen,13,FALSE)))</f>
        <v>0</v>
      </c>
      <c r="I331" s="2"/>
      <c r="J331" s="1"/>
    </row>
    <row r="332" spans="1:10" customFormat="1" ht="16.5" x14ac:dyDescent="0.3">
      <c r="A332" s="2"/>
      <c r="B332" s="2"/>
      <c r="C332" s="3" t="str">
        <f ca="1">IF(F332="","","B")</f>
        <v/>
      </c>
      <c r="D332" s="40" t="str">
        <f t="shared" ref="D332:D334" ca="1" si="70">IF(F332="","","ploeg")</f>
        <v/>
      </c>
      <c r="E332" s="40"/>
      <c r="F332" s="3" t="str">
        <f ca="1">IF(SUMIF(tbl_ploegen,A331,Uitslagen_B)&gt;0,SUMIF(tbl_ploegen,A331,Uitslagen_B),"")</f>
        <v/>
      </c>
      <c r="G332" s="8" t="str">
        <f t="shared" ref="G332:G334" ca="1" si="71">IF(F332="","","/30")</f>
        <v/>
      </c>
      <c r="H332" s="6" t="str">
        <f t="shared" ca="1" si="69"/>
        <v/>
      </c>
      <c r="I332" s="5"/>
      <c r="J332" s="1"/>
    </row>
    <row r="333" spans="1:10" customFormat="1" ht="15.75" x14ac:dyDescent="0.25">
      <c r="A333" s="2"/>
      <c r="B333" s="2"/>
      <c r="C333" s="3" t="str">
        <f ca="1">IF(F333="","","C")</f>
        <v/>
      </c>
      <c r="D333" s="40" t="str">
        <f t="shared" ca="1" si="70"/>
        <v/>
      </c>
      <c r="E333" s="40"/>
      <c r="F333" s="3" t="str">
        <f ca="1">IF(SUMIF(tbl_ploegen,A331,Uitslagen_C)&gt;0,SUMIF(tbl_ploegen,A331,Uitslagen_C),"")</f>
        <v/>
      </c>
      <c r="G333" s="8" t="str">
        <f t="shared" ca="1" si="71"/>
        <v/>
      </c>
      <c r="H333" s="6" t="str">
        <f t="shared" ca="1" si="69"/>
        <v/>
      </c>
      <c r="I333" s="5"/>
      <c r="J333" s="196"/>
    </row>
    <row r="334" spans="1:10" customFormat="1" ht="16.5" x14ac:dyDescent="0.3">
      <c r="A334" s="2"/>
      <c r="B334" s="2"/>
      <c r="C334" s="3" t="str">
        <f ca="1">IF(F334="","","D")</f>
        <v/>
      </c>
      <c r="D334" s="40" t="str">
        <f t="shared" ca="1" si="70"/>
        <v/>
      </c>
      <c r="E334" s="40"/>
      <c r="F334" s="3" t="str">
        <f ca="1">IF(SUMIF(tbl_ploegen,A331,Uitslagen_D)&gt;0,SUMIF(tbl_ploegen,A331,Uitslagen_D),"")</f>
        <v/>
      </c>
      <c r="G334" s="8" t="str">
        <f t="shared" ca="1" si="71"/>
        <v/>
      </c>
      <c r="H334" s="6" t="str">
        <f t="shared" ca="1" si="69"/>
        <v/>
      </c>
      <c r="I334" s="7" t="s">
        <v>72</v>
      </c>
      <c r="J334" s="1"/>
    </row>
    <row r="335" spans="1:10" ht="16.5" x14ac:dyDescent="0.3">
      <c r="A335" s="2"/>
      <c r="B335" s="2"/>
      <c r="C335" s="3" t="str">
        <f ca="1">IF(F335="","","E")</f>
        <v/>
      </c>
      <c r="D335" s="329" t="str">
        <f ca="1">IF(F335="","","ploeg")</f>
        <v/>
      </c>
      <c r="E335" s="329"/>
      <c r="F335" s="3" t="str">
        <f ca="1">IF(SUMIF(tbl_ploegen,A331,Uitslagen_E)&gt;0,SUMIF(tbl_ploegen,A331,Uitslagen_E),"")</f>
        <v/>
      </c>
      <c r="G335" s="8" t="str">
        <f ca="1">IF(F335="","","/30")</f>
        <v/>
      </c>
      <c r="H335" s="6" t="str">
        <f t="shared" ca="1" si="69"/>
        <v/>
      </c>
      <c r="I335" s="9">
        <f ca="1">SUM(H331:H336)</f>
        <v>0</v>
      </c>
      <c r="J335" s="1"/>
    </row>
    <row r="336" spans="1:10" ht="16.5" x14ac:dyDescent="0.3">
      <c r="A336" s="2"/>
      <c r="B336" s="2"/>
      <c r="C336" s="3" t="str">
        <f ca="1">IF(F336="","","F")</f>
        <v>F</v>
      </c>
      <c r="D336" s="329" t="str">
        <f ca="1">IF(F336="","","ploeg")</f>
        <v>ploeg</v>
      </c>
      <c r="E336" s="329"/>
      <c r="F336" s="3">
        <f ca="1">IF(SUMIF(tbl_ploegen,A331,Uitslagen_F)&gt;0,SUMIF(tbl_ploegen,A331,Uitslagen_F),"")</f>
        <v>46174</v>
      </c>
      <c r="G336" s="8" t="str">
        <f ca="1">IF(F336="","","/30")</f>
        <v>/30</v>
      </c>
      <c r="H336" s="6">
        <f t="shared" ca="1" si="69"/>
        <v>0</v>
      </c>
      <c r="I336" s="196"/>
      <c r="J336" s="1"/>
    </row>
    <row r="337" spans="1:10" ht="16.5" x14ac:dyDescent="0.3">
      <c r="A337" s="1"/>
      <c r="B337" s="1"/>
      <c r="C337" s="1"/>
      <c r="D337" s="41"/>
      <c r="E337" s="41"/>
      <c r="F337" s="41"/>
      <c r="G337" s="41"/>
      <c r="H337" s="55" t="str">
        <f>Ploegen!$C$1</f>
        <v>VRIENDENSCHIETING - LAREN</v>
      </c>
      <c r="I337" s="25">
        <f>Ploegen!$H$1</f>
        <v>46172</v>
      </c>
      <c r="J337" s="144"/>
    </row>
    <row r="338" spans="1:10" ht="15.75" x14ac:dyDescent="0.25">
      <c r="A338" s="196"/>
      <c r="B338" s="196"/>
      <c r="C338" s="196"/>
      <c r="D338" s="196"/>
      <c r="E338" s="196"/>
      <c r="F338" s="196"/>
      <c r="G338" s="196"/>
      <c r="H338" s="55"/>
      <c r="I338" s="25"/>
      <c r="J338" s="145"/>
    </row>
    <row r="339" spans="1:10" ht="16.5" x14ac:dyDescent="0.3">
      <c r="A339" s="2">
        <f>aantal_ploegen</f>
        <v>0</v>
      </c>
      <c r="B339" s="2" t="s">
        <v>69</v>
      </c>
      <c r="C339" s="3">
        <f>Aantal_30</f>
        <v>0</v>
      </c>
      <c r="D339" s="3">
        <v>30</v>
      </c>
      <c r="E339" s="197" t="s">
        <v>70</v>
      </c>
      <c r="F339" s="4">
        <f>Bedrag_per_ploeg_30</f>
        <v>0</v>
      </c>
      <c r="G339" s="196"/>
      <c r="H339" s="59"/>
      <c r="I339" s="1"/>
      <c r="J339" s="144"/>
    </row>
    <row r="340" spans="1:10" ht="16.5" x14ac:dyDescent="0.3">
      <c r="A340" s="2"/>
      <c r="B340" s="2"/>
      <c r="C340" s="3">
        <f>Aantal_29</f>
        <v>0</v>
      </c>
      <c r="D340" s="3">
        <v>29</v>
      </c>
      <c r="E340" s="197" t="s">
        <v>70</v>
      </c>
      <c r="F340" s="4">
        <f>Bedrag_per_ploeg_29</f>
        <v>0</v>
      </c>
      <c r="G340" s="196"/>
      <c r="H340" s="59"/>
      <c r="I340" s="1"/>
      <c r="J340" s="144"/>
    </row>
    <row r="341" spans="1:10" ht="16.5" x14ac:dyDescent="0.3">
      <c r="A341" s="2"/>
      <c r="B341" s="2"/>
      <c r="C341" s="3">
        <f>Aantal_28</f>
        <v>0</v>
      </c>
      <c r="D341" s="3">
        <v>28</v>
      </c>
      <c r="E341" s="197" t="s">
        <v>70</v>
      </c>
      <c r="F341" s="4">
        <f>Bedrag_per_ploeg_28</f>
        <v>0</v>
      </c>
      <c r="G341" s="4"/>
      <c r="H341" s="5"/>
      <c r="I341" s="1"/>
      <c r="J341" s="144"/>
    </row>
    <row r="342" spans="1:10" ht="16.5" x14ac:dyDescent="0.3">
      <c r="A342" s="2"/>
      <c r="B342" s="2"/>
      <c r="C342" s="3" t="str">
        <f>IF(Bedrag_per_ploeg_27&gt;0,Aantal_27,"")</f>
        <v/>
      </c>
      <c r="D342" s="3" t="str">
        <f>IF(Bedrag_per_ploeg_27&gt;0,27,"")</f>
        <v/>
      </c>
      <c r="E342" s="197" t="str">
        <f>IF(Bedrag_per_ploeg_27&gt;0,"/30","")</f>
        <v/>
      </c>
      <c r="F342" s="4" t="str">
        <f>IF(Bedrag_per_ploeg_27&gt;0,Bedrag_per_ploeg_27,"")</f>
        <v/>
      </c>
      <c r="G342" s="4"/>
      <c r="H342" s="5"/>
      <c r="I342" s="2"/>
      <c r="J342" s="144"/>
    </row>
    <row r="343" spans="1:10" ht="16.5" x14ac:dyDescent="0.3">
      <c r="A343" s="196"/>
      <c r="B343" s="196"/>
      <c r="C343" s="3" t="str">
        <f>IF(Bedrag_per_ploeg_26&gt;0,Aantal_26,"")</f>
        <v/>
      </c>
      <c r="D343" s="3" t="str">
        <f>IF(Bedrag_per_ploeg_26&gt;0,26,"")</f>
        <v/>
      </c>
      <c r="E343" s="197" t="str">
        <f>IF(Bedrag_per_ploeg_26&gt;0,"/30","")</f>
        <v/>
      </c>
      <c r="F343" s="4" t="str">
        <f>IF(Bedrag_per_ploeg_26&gt;0,Bedrag_per_ploeg_26,"")</f>
        <v/>
      </c>
      <c r="G343" s="4"/>
      <c r="H343" s="2"/>
      <c r="I343" s="2"/>
      <c r="J343" s="144"/>
    </row>
    <row r="344" spans="1:10" ht="16.5" x14ac:dyDescent="0.3">
      <c r="A344" s="196"/>
      <c r="B344" s="196"/>
      <c r="C344" s="3" t="str">
        <f>IF(Bedrag_per_ploeg_25&gt;0,Aantal_25,"")</f>
        <v/>
      </c>
      <c r="D344" s="3" t="str">
        <f>IF(Bedrag_per_ploeg_25&gt;0,25,"")</f>
        <v/>
      </c>
      <c r="E344" s="197" t="str">
        <f>IF(Bedrag_per_ploeg_25&gt;0,"/30","")</f>
        <v/>
      </c>
      <c r="F344" s="4" t="str">
        <f>IF(Bedrag_per_ploeg_25&gt;0,Bedrag_per_ploeg_25,"")</f>
        <v/>
      </c>
      <c r="G344" s="4"/>
      <c r="H344" s="5"/>
      <c r="I344" s="2"/>
      <c r="J344" s="144"/>
    </row>
    <row r="345" spans="1:10" ht="16.5" x14ac:dyDescent="0.3">
      <c r="A345" s="220" t="str" cm="1">
        <f t="array" aca="1" ref="A345" ca="1">IFERROR(
  INDEX(tbl_ploegen,SMALL(Ploegen!$AG$3:$AG$27,ROW(INDIRECT("A"&amp;(ROW()-9)/14+1)))-2,1),
  ""
)</f>
        <v/>
      </c>
      <c r="B345" s="56"/>
      <c r="C345" s="3" t="str">
        <f ca="1">IF(F345="","","A")</f>
        <v>A</v>
      </c>
      <c r="D345" s="40" t="s">
        <v>71</v>
      </c>
      <c r="E345" s="40"/>
      <c r="F345" s="3">
        <f ca="1">SUMIF(tbl_ploegen,A345,Uitslagen_A)</f>
        <v>0</v>
      </c>
      <c r="G345" s="197" t="s">
        <v>70</v>
      </c>
      <c r="H345" s="6">
        <f t="shared" ref="H345:H350" ca="1" si="72">IF(F345="","",IF(ISNA(VLOOKUP(F345,tbl_prijzen,13,FALSE)),0,VLOOKUP(F345,tbl_prijzen,13,FALSE)))</f>
        <v>0</v>
      </c>
      <c r="I345" s="2"/>
      <c r="J345" s="144"/>
    </row>
    <row r="346" spans="1:10" ht="16.5" x14ac:dyDescent="0.3">
      <c r="A346" s="2"/>
      <c r="B346" s="2"/>
      <c r="C346" s="3" t="str">
        <f ca="1">IF(F346="","","B")</f>
        <v/>
      </c>
      <c r="D346" s="40" t="str">
        <f t="shared" ref="D346:D348" ca="1" si="73">IF(F346="","","ploeg")</f>
        <v/>
      </c>
      <c r="E346" s="40"/>
      <c r="F346" s="3" t="str">
        <f ca="1">IF(SUMIF(tbl_ploegen,A345,Uitslagen_B)&gt;0,SUMIF(tbl_ploegen,A345,Uitslagen_B),"")</f>
        <v/>
      </c>
      <c r="G346" s="8" t="str">
        <f t="shared" ref="G346:G348" ca="1" si="74">IF(F346="","","/30")</f>
        <v/>
      </c>
      <c r="H346" s="6" t="str">
        <f t="shared" ca="1" si="72"/>
        <v/>
      </c>
      <c r="I346" s="5"/>
      <c r="J346" s="144"/>
    </row>
    <row r="347" spans="1:10" ht="15.75" x14ac:dyDescent="0.25">
      <c r="A347" s="2"/>
      <c r="B347" s="2"/>
      <c r="C347" s="3" t="str">
        <f ca="1">IF(F347="","","C")</f>
        <v/>
      </c>
      <c r="D347" s="40" t="str">
        <f t="shared" ca="1" si="73"/>
        <v/>
      </c>
      <c r="E347" s="40"/>
      <c r="F347" s="3" t="str">
        <f ca="1">IF(SUMIF(tbl_ploegen,A345,Uitslagen_C)&gt;0,SUMIF(tbl_ploegen,A345,Uitslagen_C),"")</f>
        <v/>
      </c>
      <c r="G347" s="8" t="str">
        <f t="shared" ca="1" si="74"/>
        <v/>
      </c>
      <c r="H347" s="6" t="str">
        <f t="shared" ca="1" si="72"/>
        <v/>
      </c>
      <c r="I347" s="5"/>
    </row>
    <row r="348" spans="1:10" ht="16.5" x14ac:dyDescent="0.3">
      <c r="A348" s="2"/>
      <c r="B348" s="2"/>
      <c r="C348" s="3" t="str">
        <f ca="1">IF(F348="","","D")</f>
        <v/>
      </c>
      <c r="D348" s="40" t="str">
        <f t="shared" ca="1" si="73"/>
        <v/>
      </c>
      <c r="E348" s="40"/>
      <c r="F348" s="3" t="str">
        <f ca="1">IF(SUMIF(tbl_ploegen,A345,Uitslagen_D)&gt;0,SUMIF(tbl_ploegen,A345,Uitslagen_D),"")</f>
        <v/>
      </c>
      <c r="G348" s="8" t="str">
        <f t="shared" ca="1" si="74"/>
        <v/>
      </c>
      <c r="H348" s="6" t="str">
        <f t="shared" ca="1" si="72"/>
        <v/>
      </c>
      <c r="I348" s="7" t="s">
        <v>72</v>
      </c>
      <c r="J348" s="144"/>
    </row>
    <row r="349" spans="1:10" ht="16.5" x14ac:dyDescent="0.3">
      <c r="A349" s="2"/>
      <c r="B349" s="2"/>
      <c r="C349" s="3" t="str">
        <f ca="1">IF(F349="","","E")</f>
        <v/>
      </c>
      <c r="D349" s="329" t="str">
        <f ca="1">IF(F349="","","ploeg")</f>
        <v/>
      </c>
      <c r="E349" s="329"/>
      <c r="F349" s="3" t="str">
        <f ca="1">IF(SUMIF(tbl_ploegen,A345,Uitslagen_E)&gt;0,SUMIF(tbl_ploegen,A345,Uitslagen_E),"")</f>
        <v/>
      </c>
      <c r="G349" s="8" t="str">
        <f ca="1">IF(F349="","","/30")</f>
        <v/>
      </c>
      <c r="H349" s="6" t="str">
        <f t="shared" ca="1" si="72"/>
        <v/>
      </c>
      <c r="I349" s="9">
        <f ca="1">SUM(H345:H350)</f>
        <v>0</v>
      </c>
      <c r="J349" s="144"/>
    </row>
    <row r="350" spans="1:10" ht="16.5" x14ac:dyDescent="0.3">
      <c r="A350" s="2"/>
      <c r="B350" s="2"/>
      <c r="C350" s="3" t="str">
        <f ca="1">IF(F350="","","F")</f>
        <v>F</v>
      </c>
      <c r="D350" s="329" t="str">
        <f ca="1">IF(F350="","","ploeg")</f>
        <v>ploeg</v>
      </c>
      <c r="E350" s="329"/>
      <c r="F350" s="3">
        <f ca="1">IF(SUMIF(tbl_ploegen,A345,Uitslagen_F)&gt;0,SUMIF(tbl_ploegen,A345,Uitslagen_F),"")</f>
        <v>46174</v>
      </c>
      <c r="G350" s="8" t="str">
        <f ca="1">IF(F350="","","/30")</f>
        <v>/30</v>
      </c>
      <c r="H350" s="6">
        <f t="shared" ca="1" si="72"/>
        <v>0</v>
      </c>
      <c r="I350" s="196"/>
      <c r="J350" s="144"/>
    </row>
  </sheetData>
  <sheetProtection sheet="1" objects="1" scenarios="1"/>
  <mergeCells count="50">
    <mergeCell ref="D42:E42"/>
    <mergeCell ref="D13:E13"/>
    <mergeCell ref="D14:E14"/>
    <mergeCell ref="D27:E27"/>
    <mergeCell ref="D28:E28"/>
    <mergeCell ref="D41:E41"/>
    <mergeCell ref="D126:E126"/>
    <mergeCell ref="D55:E55"/>
    <mergeCell ref="D56:E56"/>
    <mergeCell ref="D69:E69"/>
    <mergeCell ref="D70:E70"/>
    <mergeCell ref="D83:E83"/>
    <mergeCell ref="D84:E84"/>
    <mergeCell ref="D97:E97"/>
    <mergeCell ref="D98:E98"/>
    <mergeCell ref="D111:E111"/>
    <mergeCell ref="D112:E112"/>
    <mergeCell ref="D125:E125"/>
    <mergeCell ref="D210:E210"/>
    <mergeCell ref="D139:E139"/>
    <mergeCell ref="D140:E140"/>
    <mergeCell ref="D153:E153"/>
    <mergeCell ref="D154:E154"/>
    <mergeCell ref="D167:E167"/>
    <mergeCell ref="D168:E168"/>
    <mergeCell ref="D181:E181"/>
    <mergeCell ref="D182:E182"/>
    <mergeCell ref="D195:E195"/>
    <mergeCell ref="D196:E196"/>
    <mergeCell ref="D209:E209"/>
    <mergeCell ref="D294:E294"/>
    <mergeCell ref="D223:E223"/>
    <mergeCell ref="D224:E224"/>
    <mergeCell ref="D237:E237"/>
    <mergeCell ref="D238:E238"/>
    <mergeCell ref="D251:E251"/>
    <mergeCell ref="D252:E252"/>
    <mergeCell ref="D265:E265"/>
    <mergeCell ref="D266:E266"/>
    <mergeCell ref="D279:E279"/>
    <mergeCell ref="D280:E280"/>
    <mergeCell ref="D293:E293"/>
    <mergeCell ref="D349:E349"/>
    <mergeCell ref="D350:E350"/>
    <mergeCell ref="D307:E307"/>
    <mergeCell ref="D308:E308"/>
    <mergeCell ref="D321:E321"/>
    <mergeCell ref="D322:E322"/>
    <mergeCell ref="D335:E335"/>
    <mergeCell ref="D336:E336"/>
  </mergeCells>
  <conditionalFormatting sqref="A1:J14">
    <cfRule type="expression" dxfId="32" priority="54">
      <formula>$I$13=0</formula>
    </cfRule>
  </conditionalFormatting>
  <conditionalFormatting sqref="A15:J28">
    <cfRule type="expression" dxfId="31" priority="57">
      <formula>$I$27=0</formula>
    </cfRule>
  </conditionalFormatting>
  <conditionalFormatting sqref="A29:J42">
    <cfRule type="expression" dxfId="30" priority="58">
      <formula>$I$41=0</formula>
    </cfRule>
  </conditionalFormatting>
  <conditionalFormatting sqref="A43:J56">
    <cfRule type="expression" dxfId="29" priority="61">
      <formula>$I$55=0</formula>
    </cfRule>
  </conditionalFormatting>
  <conditionalFormatting sqref="A57:J70">
    <cfRule type="expression" dxfId="28" priority="62">
      <formula>$I$69=0</formula>
    </cfRule>
  </conditionalFormatting>
  <conditionalFormatting sqref="A71:J84">
    <cfRule type="expression" dxfId="27" priority="63">
      <formula>$I$83=0</formula>
    </cfRule>
  </conditionalFormatting>
  <conditionalFormatting sqref="A85:J98">
    <cfRule type="expression" dxfId="26" priority="64">
      <formula>$I$97=0</formula>
    </cfRule>
  </conditionalFormatting>
  <conditionalFormatting sqref="A99:J112">
    <cfRule type="expression" dxfId="25" priority="65">
      <formula>$I$111=0</formula>
    </cfRule>
  </conditionalFormatting>
  <conditionalFormatting sqref="A113:J126">
    <cfRule type="expression" dxfId="24" priority="66">
      <formula>$I$125=0</formula>
    </cfRule>
  </conditionalFormatting>
  <conditionalFormatting sqref="A127:J140">
    <cfRule type="expression" dxfId="23" priority="67">
      <formula>$I$139=0</formula>
    </cfRule>
  </conditionalFormatting>
  <conditionalFormatting sqref="A141:J154">
    <cfRule type="expression" dxfId="22" priority="68">
      <formula>$I$153=0</formula>
    </cfRule>
  </conditionalFormatting>
  <conditionalFormatting sqref="A155:J168">
    <cfRule type="expression" dxfId="21" priority="70">
      <formula>$I$167=0</formula>
    </cfRule>
  </conditionalFormatting>
  <conditionalFormatting sqref="A169:J182">
    <cfRule type="expression" dxfId="20" priority="71">
      <formula>$I$181=0</formula>
    </cfRule>
  </conditionalFormatting>
  <conditionalFormatting sqref="A183:J196">
    <cfRule type="expression" dxfId="19" priority="72">
      <formula>$I$195=0</formula>
    </cfRule>
  </conditionalFormatting>
  <conditionalFormatting sqref="A197:J210">
    <cfRule type="expression" dxfId="18" priority="73">
      <formula>$I$209=0</formula>
    </cfRule>
  </conditionalFormatting>
  <conditionalFormatting sqref="A211:J224">
    <cfRule type="expression" dxfId="17" priority="74">
      <formula>$I$223=0</formula>
    </cfRule>
  </conditionalFormatting>
  <conditionalFormatting sqref="A225:J238">
    <cfRule type="expression" dxfId="16" priority="75">
      <formula>$I$237=0</formula>
    </cfRule>
  </conditionalFormatting>
  <conditionalFormatting sqref="A239:J252">
    <cfRule type="expression" dxfId="15" priority="76">
      <formula>$I$251=0</formula>
    </cfRule>
  </conditionalFormatting>
  <conditionalFormatting sqref="A253:J266">
    <cfRule type="expression" dxfId="14" priority="77">
      <formula>$I$265=0</formula>
    </cfRule>
  </conditionalFormatting>
  <conditionalFormatting sqref="A267:J280">
    <cfRule type="expression" dxfId="13" priority="78">
      <formula>$I$279=0</formula>
    </cfRule>
  </conditionalFormatting>
  <conditionalFormatting sqref="A281:J294">
    <cfRule type="expression" dxfId="12" priority="79">
      <formula>$I$293=0</formula>
    </cfRule>
  </conditionalFormatting>
  <conditionalFormatting sqref="A295:J308">
    <cfRule type="expression" dxfId="11" priority="80">
      <formula>$I$307=0</formula>
    </cfRule>
  </conditionalFormatting>
  <conditionalFormatting sqref="A309:J322">
    <cfRule type="expression" dxfId="10" priority="81">
      <formula>$I$321=0</formula>
    </cfRule>
  </conditionalFormatting>
  <conditionalFormatting sqref="A323:J336">
    <cfRule type="expression" dxfId="9" priority="82">
      <formula>$I$335=0</formula>
    </cfRule>
  </conditionalFormatting>
  <conditionalFormatting sqref="A337:J350">
    <cfRule type="expression" dxfId="8" priority="83">
      <formula>$I$349=0</formula>
    </cfRule>
  </conditionalFormatting>
  <pageMargins left="0.98425196850393704" right="0.19685039370078741" top="0.78740157480314965" bottom="0.47244094488188981" header="0.51181102362204722" footer="0.51181102362204722"/>
  <pageSetup paperSize="27" scale="97" firstPageNumber="0" orientation="landscape" horizontalDpi="4294967293" verticalDpi="4294967293"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0BEC3-5977-47A2-90BB-654C3F74B402}">
  <sheetPr codeName="Blad8">
    <pageSetUpPr fitToPage="1"/>
  </sheetPr>
  <dimension ref="A1:AF25"/>
  <sheetViews>
    <sheetView showGridLines="0" zoomScaleNormal="100" workbookViewId="0">
      <selection activeCell="L13" sqref="L13"/>
    </sheetView>
  </sheetViews>
  <sheetFormatPr defaultColWidth="0" defaultRowHeight="12.75" zeroHeight="1" x14ac:dyDescent="0.2"/>
  <cols>
    <col min="1" max="1" width="4.140625" bestFit="1" customWidth="1"/>
    <col min="2" max="2" width="4" bestFit="1" customWidth="1"/>
    <col min="3" max="3" width="1.42578125" customWidth="1"/>
    <col min="4" max="4" width="29.42578125" customWidth="1"/>
    <col min="5" max="10" width="5.140625" customWidth="1"/>
    <col min="11" max="11" width="1" customWidth="1"/>
    <col min="12" max="26" width="5" customWidth="1"/>
    <col min="27" max="27" width="0.7109375" customWidth="1"/>
    <col min="28" max="32" width="0" hidden="1" customWidth="1"/>
    <col min="33" max="16384" width="9.140625" hidden="1"/>
  </cols>
  <sheetData>
    <row r="1" spans="1:26" ht="21" customHeight="1" x14ac:dyDescent="0.3">
      <c r="A1" s="332" t="s">
        <v>96</v>
      </c>
      <c r="B1" s="334" t="s">
        <v>0</v>
      </c>
      <c r="C1" s="60"/>
      <c r="D1" s="336" t="str">
        <f>Ploegen!C1</f>
        <v>VRIENDENSCHIETING - LAREN</v>
      </c>
      <c r="E1" s="337"/>
      <c r="F1" s="337"/>
      <c r="G1" s="338"/>
      <c r="H1" s="339">
        <f>Ploegen!H1</f>
        <v>46172</v>
      </c>
      <c r="I1" s="339"/>
      <c r="J1" s="340"/>
      <c r="K1" s="61"/>
      <c r="L1" s="67" t="s">
        <v>3</v>
      </c>
      <c r="M1" s="68"/>
      <c r="N1" s="68"/>
      <c r="O1" s="68"/>
      <c r="P1" s="69"/>
      <c r="Q1" s="67" t="s">
        <v>4</v>
      </c>
      <c r="R1" s="68"/>
      <c r="S1" s="68"/>
      <c r="T1" s="69"/>
      <c r="U1" s="67" t="s">
        <v>5</v>
      </c>
      <c r="V1" s="68"/>
      <c r="W1" s="68"/>
      <c r="X1" s="69"/>
      <c r="Y1" s="67" t="s">
        <v>6</v>
      </c>
      <c r="Z1" s="69"/>
    </row>
    <row r="2" spans="1:26" ht="21" customHeight="1" x14ac:dyDescent="0.3">
      <c r="A2" s="333"/>
      <c r="B2" s="335"/>
      <c r="C2" s="60"/>
      <c r="D2" s="200" t="s">
        <v>8</v>
      </c>
      <c r="E2" s="201" t="s">
        <v>3</v>
      </c>
      <c r="F2" s="201" t="s">
        <v>4</v>
      </c>
      <c r="G2" s="201" t="s">
        <v>5</v>
      </c>
      <c r="H2" s="66" t="s">
        <v>6</v>
      </c>
      <c r="I2" s="66" t="s">
        <v>9</v>
      </c>
      <c r="J2" s="75" t="s">
        <v>10</v>
      </c>
      <c r="K2" s="62"/>
      <c r="L2" s="70">
        <v>25</v>
      </c>
      <c r="M2" s="63">
        <v>20</v>
      </c>
      <c r="N2" s="63">
        <v>16</v>
      </c>
      <c r="O2" s="63">
        <v>12</v>
      </c>
      <c r="P2" s="71">
        <v>10</v>
      </c>
      <c r="Q2" s="72">
        <v>25</v>
      </c>
      <c r="R2" s="64">
        <v>20</v>
      </c>
      <c r="S2" s="64">
        <v>16</v>
      </c>
      <c r="T2" s="73">
        <v>12</v>
      </c>
      <c r="U2" s="72">
        <v>25</v>
      </c>
      <c r="V2" s="65">
        <v>20</v>
      </c>
      <c r="W2" s="65">
        <v>16</v>
      </c>
      <c r="X2" s="74">
        <v>12</v>
      </c>
      <c r="Y2" s="72">
        <v>25</v>
      </c>
      <c r="Z2" s="74">
        <v>20</v>
      </c>
    </row>
    <row r="3" spans="1:26" ht="24" customHeight="1" x14ac:dyDescent="0.2">
      <c r="A3" s="76">
        <v>1</v>
      </c>
      <c r="B3" s="110"/>
      <c r="C3" s="111"/>
      <c r="D3" s="125"/>
      <c r="E3" s="112"/>
      <c r="F3" s="112"/>
      <c r="G3" s="112"/>
      <c r="H3" s="112"/>
      <c r="I3" s="112"/>
      <c r="J3" s="110"/>
      <c r="K3" s="113"/>
      <c r="L3" s="76"/>
      <c r="M3" s="114"/>
      <c r="N3" s="115"/>
      <c r="O3" s="115"/>
      <c r="P3" s="116"/>
      <c r="Q3" s="117"/>
      <c r="R3" s="115"/>
      <c r="S3" s="115"/>
      <c r="T3" s="116"/>
      <c r="U3" s="117"/>
      <c r="V3" s="115"/>
      <c r="W3" s="115"/>
      <c r="X3" s="116"/>
      <c r="Y3" s="117"/>
      <c r="Z3" s="116"/>
    </row>
    <row r="4" spans="1:26" ht="24" customHeight="1" x14ac:dyDescent="0.2">
      <c r="A4" s="76">
        <v>2</v>
      </c>
      <c r="B4" s="110"/>
      <c r="C4" s="111"/>
      <c r="D4" s="125"/>
      <c r="E4" s="112"/>
      <c r="F4" s="112"/>
      <c r="G4" s="112"/>
      <c r="H4" s="112"/>
      <c r="I4" s="112"/>
      <c r="J4" s="110"/>
      <c r="K4" s="113"/>
      <c r="L4" s="76"/>
      <c r="M4" s="202"/>
      <c r="N4" s="203"/>
      <c r="O4" s="203"/>
      <c r="P4" s="119"/>
      <c r="Q4" s="118"/>
      <c r="R4" s="203"/>
      <c r="S4" s="203"/>
      <c r="T4" s="119"/>
      <c r="U4" s="118"/>
      <c r="V4" s="203"/>
      <c r="W4" s="203"/>
      <c r="X4" s="119"/>
      <c r="Y4" s="118"/>
      <c r="Z4" s="119"/>
    </row>
    <row r="5" spans="1:26" ht="24" customHeight="1" x14ac:dyDescent="0.2">
      <c r="A5" s="77">
        <v>3</v>
      </c>
      <c r="B5" s="120"/>
      <c r="C5" s="111"/>
      <c r="D5" s="125"/>
      <c r="E5" s="112"/>
      <c r="F5" s="112"/>
      <c r="G5" s="112"/>
      <c r="H5" s="112"/>
      <c r="I5" s="112"/>
      <c r="J5" s="110"/>
      <c r="K5" s="113"/>
      <c r="L5" s="76"/>
      <c r="M5" s="202"/>
      <c r="N5" s="203"/>
      <c r="O5" s="203"/>
      <c r="P5" s="119"/>
      <c r="Q5" s="118"/>
      <c r="R5" s="203"/>
      <c r="S5" s="203"/>
      <c r="T5" s="119"/>
      <c r="U5" s="118"/>
      <c r="V5" s="203"/>
      <c r="W5" s="203"/>
      <c r="X5" s="119"/>
      <c r="Y5" s="118"/>
      <c r="Z5" s="119"/>
    </row>
    <row r="6" spans="1:26" ht="24" customHeight="1" x14ac:dyDescent="0.2">
      <c r="A6" s="76">
        <v>4</v>
      </c>
      <c r="B6" s="110"/>
      <c r="C6" s="111"/>
      <c r="D6" s="125"/>
      <c r="E6" s="112"/>
      <c r="F6" s="112"/>
      <c r="G6" s="112"/>
      <c r="H6" s="112"/>
      <c r="I6" s="112"/>
      <c r="J6" s="110"/>
      <c r="K6" s="113"/>
      <c r="L6" s="76"/>
      <c r="M6" s="202"/>
      <c r="N6" s="203"/>
      <c r="O6" s="203"/>
      <c r="P6" s="119"/>
      <c r="Q6" s="118"/>
      <c r="R6" s="203"/>
      <c r="S6" s="203"/>
      <c r="T6" s="119"/>
      <c r="U6" s="118"/>
      <c r="V6" s="203"/>
      <c r="W6" s="203"/>
      <c r="X6" s="119"/>
      <c r="Y6" s="118"/>
      <c r="Z6" s="119"/>
    </row>
    <row r="7" spans="1:26" ht="24" customHeight="1" x14ac:dyDescent="0.2">
      <c r="A7" s="76">
        <v>5</v>
      </c>
      <c r="B7" s="110"/>
      <c r="C7" s="111"/>
      <c r="D7" s="125"/>
      <c r="E7" s="112"/>
      <c r="F7" s="112"/>
      <c r="G7" s="112"/>
      <c r="H7" s="112"/>
      <c r="I7" s="112"/>
      <c r="J7" s="110"/>
      <c r="K7" s="113"/>
      <c r="L7" s="76"/>
      <c r="M7" s="202"/>
      <c r="N7" s="203"/>
      <c r="O7" s="203"/>
      <c r="P7" s="119"/>
      <c r="Q7" s="118"/>
      <c r="R7" s="203"/>
      <c r="S7" s="203"/>
      <c r="T7" s="119"/>
      <c r="U7" s="118"/>
      <c r="V7" s="203"/>
      <c r="W7" s="203"/>
      <c r="X7" s="119"/>
      <c r="Y7" s="118"/>
      <c r="Z7" s="119"/>
    </row>
    <row r="8" spans="1:26" ht="24" customHeight="1" x14ac:dyDescent="0.2">
      <c r="A8" s="76">
        <v>6</v>
      </c>
      <c r="B8" s="110"/>
      <c r="C8" s="111"/>
      <c r="D8" s="125"/>
      <c r="E8" s="112"/>
      <c r="F8" s="112"/>
      <c r="G8" s="112"/>
      <c r="H8" s="112"/>
      <c r="I8" s="112"/>
      <c r="J8" s="110"/>
      <c r="K8" s="113"/>
      <c r="L8" s="76"/>
      <c r="M8" s="202"/>
      <c r="N8" s="203"/>
      <c r="O8" s="203"/>
      <c r="P8" s="119"/>
      <c r="Q8" s="118"/>
      <c r="R8" s="203"/>
      <c r="S8" s="203"/>
      <c r="T8" s="119"/>
      <c r="U8" s="118"/>
      <c r="V8" s="203"/>
      <c r="W8" s="203"/>
      <c r="X8" s="119"/>
      <c r="Y8" s="118"/>
      <c r="Z8" s="119"/>
    </row>
    <row r="9" spans="1:26" ht="24" customHeight="1" x14ac:dyDescent="0.2">
      <c r="A9" s="77">
        <v>7</v>
      </c>
      <c r="B9" s="120"/>
      <c r="C9" s="111"/>
      <c r="D9" s="125"/>
      <c r="E9" s="112"/>
      <c r="F9" s="112"/>
      <c r="G9" s="112"/>
      <c r="H9" s="112"/>
      <c r="I9" s="112"/>
      <c r="J9" s="110"/>
      <c r="K9" s="113"/>
      <c r="L9" s="76"/>
      <c r="M9" s="202"/>
      <c r="N9" s="203"/>
      <c r="O9" s="203"/>
      <c r="P9" s="119"/>
      <c r="Q9" s="118"/>
      <c r="R9" s="203"/>
      <c r="S9" s="203"/>
      <c r="T9" s="119"/>
      <c r="U9" s="118"/>
      <c r="V9" s="203"/>
      <c r="W9" s="203"/>
      <c r="X9" s="119"/>
      <c r="Y9" s="118"/>
      <c r="Z9" s="119"/>
    </row>
    <row r="10" spans="1:26" ht="24" customHeight="1" x14ac:dyDescent="0.2">
      <c r="A10" s="76">
        <v>8</v>
      </c>
      <c r="B10" s="110"/>
      <c r="C10" s="111"/>
      <c r="D10" s="125"/>
      <c r="E10" s="112"/>
      <c r="F10" s="112"/>
      <c r="G10" s="112"/>
      <c r="H10" s="112"/>
      <c r="I10" s="112"/>
      <c r="J10" s="110"/>
      <c r="K10" s="113"/>
      <c r="L10" s="76"/>
      <c r="M10" s="202"/>
      <c r="N10" s="203"/>
      <c r="O10" s="203"/>
      <c r="P10" s="119"/>
      <c r="Q10" s="118"/>
      <c r="R10" s="203"/>
      <c r="S10" s="203"/>
      <c r="T10" s="119"/>
      <c r="U10" s="118"/>
      <c r="V10" s="203"/>
      <c r="W10" s="203"/>
      <c r="X10" s="119"/>
      <c r="Y10" s="118"/>
      <c r="Z10" s="119"/>
    </row>
    <row r="11" spans="1:26" ht="24" customHeight="1" x14ac:dyDescent="0.2">
      <c r="A11" s="76">
        <v>9</v>
      </c>
      <c r="B11" s="110"/>
      <c r="C11" s="111"/>
      <c r="D11" s="125"/>
      <c r="E11" s="112"/>
      <c r="F11" s="112"/>
      <c r="G11" s="112"/>
      <c r="H11" s="112"/>
      <c r="I11" s="112"/>
      <c r="J11" s="110"/>
      <c r="K11" s="113"/>
      <c r="L11" s="76"/>
      <c r="M11" s="202"/>
      <c r="N11" s="203"/>
      <c r="O11" s="203"/>
      <c r="P11" s="119"/>
      <c r="Q11" s="118"/>
      <c r="R11" s="203"/>
      <c r="S11" s="203"/>
      <c r="T11" s="119"/>
      <c r="U11" s="118"/>
      <c r="V11" s="203"/>
      <c r="W11" s="203"/>
      <c r="X11" s="119"/>
      <c r="Y11" s="118"/>
      <c r="Z11" s="119"/>
    </row>
    <row r="12" spans="1:26" ht="24" customHeight="1" x14ac:dyDescent="0.2">
      <c r="A12" s="76">
        <v>10</v>
      </c>
      <c r="B12" s="110"/>
      <c r="C12" s="111"/>
      <c r="D12" s="125"/>
      <c r="E12" s="112"/>
      <c r="F12" s="112"/>
      <c r="G12" s="112"/>
      <c r="H12" s="112"/>
      <c r="I12" s="112"/>
      <c r="J12" s="110"/>
      <c r="K12" s="113"/>
      <c r="L12" s="76"/>
      <c r="M12" s="202"/>
      <c r="N12" s="203"/>
      <c r="O12" s="203"/>
      <c r="P12" s="119"/>
      <c r="Q12" s="118"/>
      <c r="R12" s="203"/>
      <c r="S12" s="203"/>
      <c r="T12" s="119"/>
      <c r="U12" s="118"/>
      <c r="V12" s="203"/>
      <c r="W12" s="203"/>
      <c r="X12" s="119"/>
      <c r="Y12" s="118"/>
      <c r="Z12" s="119"/>
    </row>
    <row r="13" spans="1:26" ht="24" customHeight="1" x14ac:dyDescent="0.2">
      <c r="A13" s="77">
        <v>11</v>
      </c>
      <c r="B13" s="120"/>
      <c r="C13" s="111"/>
      <c r="D13" s="125"/>
      <c r="E13" s="112"/>
      <c r="F13" s="112"/>
      <c r="G13" s="112"/>
      <c r="H13" s="112"/>
      <c r="I13" s="112"/>
      <c r="J13" s="110"/>
      <c r="K13" s="113"/>
      <c r="L13" s="76"/>
      <c r="M13" s="202"/>
      <c r="N13" s="203"/>
      <c r="O13" s="203"/>
      <c r="P13" s="119"/>
      <c r="Q13" s="118"/>
      <c r="R13" s="203"/>
      <c r="S13" s="203"/>
      <c r="T13" s="119"/>
      <c r="U13" s="118"/>
      <c r="V13" s="203"/>
      <c r="W13" s="203"/>
      <c r="X13" s="119"/>
      <c r="Y13" s="118"/>
      <c r="Z13" s="119"/>
    </row>
    <row r="14" spans="1:26" ht="24" customHeight="1" x14ac:dyDescent="0.2">
      <c r="A14" s="76">
        <v>12</v>
      </c>
      <c r="B14" s="110"/>
      <c r="C14" s="111"/>
      <c r="D14" s="125"/>
      <c r="E14" s="112"/>
      <c r="F14" s="112"/>
      <c r="G14" s="112"/>
      <c r="H14" s="112"/>
      <c r="I14" s="112"/>
      <c r="J14" s="110"/>
      <c r="K14" s="113"/>
      <c r="L14" s="76"/>
      <c r="M14" s="202"/>
      <c r="N14" s="203"/>
      <c r="O14" s="203"/>
      <c r="P14" s="119"/>
      <c r="Q14" s="118"/>
      <c r="R14" s="203"/>
      <c r="S14" s="203"/>
      <c r="T14" s="119"/>
      <c r="U14" s="118"/>
      <c r="V14" s="203"/>
      <c r="W14" s="203"/>
      <c r="X14" s="119"/>
      <c r="Y14" s="118"/>
      <c r="Z14" s="119"/>
    </row>
    <row r="15" spans="1:26" ht="24" customHeight="1" x14ac:dyDescent="0.2">
      <c r="A15" s="76">
        <v>13</v>
      </c>
      <c r="B15" s="110"/>
      <c r="C15" s="111"/>
      <c r="D15" s="125"/>
      <c r="E15" s="112"/>
      <c r="F15" s="112"/>
      <c r="G15" s="112"/>
      <c r="H15" s="112"/>
      <c r="I15" s="112"/>
      <c r="J15" s="110"/>
      <c r="K15" s="113"/>
      <c r="L15" s="76"/>
      <c r="M15" s="202"/>
      <c r="N15" s="203"/>
      <c r="O15" s="203"/>
      <c r="P15" s="119"/>
      <c r="Q15" s="118"/>
      <c r="R15" s="203"/>
      <c r="S15" s="203"/>
      <c r="T15" s="119"/>
      <c r="U15" s="118"/>
      <c r="V15" s="203"/>
      <c r="W15" s="203"/>
      <c r="X15" s="119"/>
      <c r="Y15" s="118"/>
      <c r="Z15" s="119"/>
    </row>
    <row r="16" spans="1:26" ht="24" customHeight="1" x14ac:dyDescent="0.2">
      <c r="A16" s="76">
        <v>14</v>
      </c>
      <c r="B16" s="110"/>
      <c r="C16" s="111"/>
      <c r="D16" s="125"/>
      <c r="E16" s="112"/>
      <c r="F16" s="112"/>
      <c r="G16" s="112"/>
      <c r="H16" s="112"/>
      <c r="I16" s="112"/>
      <c r="J16" s="110"/>
      <c r="K16" s="113"/>
      <c r="L16" s="76"/>
      <c r="M16" s="202"/>
      <c r="N16" s="203"/>
      <c r="O16" s="203"/>
      <c r="P16" s="119"/>
      <c r="Q16" s="118"/>
      <c r="R16" s="203"/>
      <c r="S16" s="203"/>
      <c r="T16" s="119"/>
      <c r="U16" s="118"/>
      <c r="V16" s="203"/>
      <c r="W16" s="203"/>
      <c r="X16" s="119"/>
      <c r="Y16" s="118"/>
      <c r="Z16" s="119"/>
    </row>
    <row r="17" spans="1:26" ht="24" customHeight="1" x14ac:dyDescent="0.2">
      <c r="A17" s="77">
        <v>15</v>
      </c>
      <c r="B17" s="120"/>
      <c r="C17" s="111"/>
      <c r="D17" s="125"/>
      <c r="E17" s="112"/>
      <c r="F17" s="112"/>
      <c r="G17" s="112"/>
      <c r="H17" s="112"/>
      <c r="I17" s="112"/>
      <c r="J17" s="110"/>
      <c r="K17" s="113"/>
      <c r="L17" s="76"/>
      <c r="M17" s="202"/>
      <c r="N17" s="203"/>
      <c r="O17" s="203"/>
      <c r="P17" s="119"/>
      <c r="Q17" s="118"/>
      <c r="R17" s="203"/>
      <c r="S17" s="203"/>
      <c r="T17" s="119"/>
      <c r="U17" s="118"/>
      <c r="V17" s="203"/>
      <c r="W17" s="203"/>
      <c r="X17" s="119"/>
      <c r="Y17" s="118"/>
      <c r="Z17" s="119"/>
    </row>
    <row r="18" spans="1:26" ht="24" customHeight="1" x14ac:dyDescent="0.2">
      <c r="A18" s="76">
        <v>16</v>
      </c>
      <c r="B18" s="110"/>
      <c r="C18" s="111"/>
      <c r="D18" s="125"/>
      <c r="E18" s="112"/>
      <c r="F18" s="112"/>
      <c r="G18" s="112"/>
      <c r="H18" s="112"/>
      <c r="I18" s="112"/>
      <c r="J18" s="110"/>
      <c r="K18" s="113"/>
      <c r="L18" s="76"/>
      <c r="M18" s="202"/>
      <c r="N18" s="203"/>
      <c r="O18" s="203"/>
      <c r="P18" s="119"/>
      <c r="Q18" s="118"/>
      <c r="R18" s="203"/>
      <c r="S18" s="203"/>
      <c r="T18" s="119"/>
      <c r="U18" s="118"/>
      <c r="V18" s="203"/>
      <c r="W18" s="203"/>
      <c r="X18" s="119"/>
      <c r="Y18" s="118"/>
      <c r="Z18" s="119"/>
    </row>
    <row r="19" spans="1:26" ht="24" customHeight="1" x14ac:dyDescent="0.2">
      <c r="A19" s="76">
        <v>17</v>
      </c>
      <c r="B19" s="110"/>
      <c r="C19" s="111"/>
      <c r="D19" s="125"/>
      <c r="E19" s="112"/>
      <c r="F19" s="112"/>
      <c r="G19" s="112"/>
      <c r="H19" s="112"/>
      <c r="I19" s="112"/>
      <c r="J19" s="110"/>
      <c r="K19" s="113"/>
      <c r="L19" s="76"/>
      <c r="M19" s="202"/>
      <c r="N19" s="203"/>
      <c r="O19" s="203"/>
      <c r="P19" s="119"/>
      <c r="Q19" s="118"/>
      <c r="R19" s="203"/>
      <c r="S19" s="203"/>
      <c r="T19" s="119"/>
      <c r="U19" s="118"/>
      <c r="V19" s="203"/>
      <c r="W19" s="203"/>
      <c r="X19" s="119"/>
      <c r="Y19" s="118"/>
      <c r="Z19" s="119"/>
    </row>
    <row r="20" spans="1:26" ht="24" customHeight="1" x14ac:dyDescent="0.2">
      <c r="A20" s="127">
        <v>18</v>
      </c>
      <c r="B20" s="134"/>
      <c r="C20" s="111"/>
      <c r="D20" s="132"/>
      <c r="E20" s="133"/>
      <c r="F20" s="133"/>
      <c r="G20" s="133"/>
      <c r="H20" s="133"/>
      <c r="I20" s="133"/>
      <c r="J20" s="134"/>
      <c r="K20" s="113"/>
      <c r="L20" s="127"/>
      <c r="M20" s="128"/>
      <c r="N20" s="129"/>
      <c r="O20" s="129"/>
      <c r="P20" s="130"/>
      <c r="Q20" s="131"/>
      <c r="R20" s="129"/>
      <c r="S20" s="129"/>
      <c r="T20" s="130"/>
      <c r="U20" s="131"/>
      <c r="V20" s="129"/>
      <c r="W20" s="129"/>
      <c r="X20" s="130"/>
      <c r="Y20" s="131"/>
      <c r="Z20" s="130"/>
    </row>
    <row r="21" spans="1:26" ht="24" customHeight="1" thickBot="1" x14ac:dyDescent="0.25">
      <c r="A21" s="78">
        <v>19</v>
      </c>
      <c r="B21" s="121"/>
      <c r="C21" s="111"/>
      <c r="D21" s="126"/>
      <c r="E21" s="123"/>
      <c r="F21" s="123"/>
      <c r="G21" s="123"/>
      <c r="H21" s="123"/>
      <c r="I21" s="123"/>
      <c r="J21" s="124"/>
      <c r="K21" s="113"/>
      <c r="L21" s="122"/>
      <c r="M21" s="135"/>
      <c r="N21" s="136"/>
      <c r="O21" s="136"/>
      <c r="P21" s="137"/>
      <c r="Q21" s="138"/>
      <c r="R21" s="136"/>
      <c r="S21" s="136"/>
      <c r="T21" s="137"/>
      <c r="U21" s="138"/>
      <c r="V21" s="136"/>
      <c r="W21" s="136"/>
      <c r="X21" s="137"/>
      <c r="Y21" s="138"/>
      <c r="Z21" s="137"/>
    </row>
    <row r="22" spans="1:26" ht="6.75" customHeight="1" x14ac:dyDescent="0.2">
      <c r="A22" s="196"/>
      <c r="B22" s="196"/>
      <c r="C22" s="196"/>
      <c r="D22" s="196"/>
      <c r="E22" s="196"/>
      <c r="F22" s="196"/>
      <c r="G22" s="196"/>
      <c r="H22" s="196"/>
      <c r="I22" s="196"/>
      <c r="J22" s="196"/>
      <c r="K22" s="196"/>
      <c r="L22" s="196"/>
      <c r="M22" s="196"/>
      <c r="N22" s="196"/>
      <c r="O22" s="196"/>
      <c r="P22" s="196"/>
      <c r="Q22" s="196"/>
      <c r="R22" s="196"/>
      <c r="S22" s="196"/>
      <c r="T22" s="196"/>
      <c r="U22" s="196"/>
      <c r="V22" s="196"/>
      <c r="W22" s="196"/>
      <c r="X22" s="196"/>
      <c r="Y22" s="196"/>
      <c r="Z22" s="196"/>
    </row>
    <row r="23" spans="1:26" ht="24" x14ac:dyDescent="0.35">
      <c r="A23" s="342"/>
      <c r="B23" s="342"/>
      <c r="C23" s="342"/>
      <c r="D23" s="141"/>
      <c r="E23" s="142" t="s">
        <v>97</v>
      </c>
      <c r="F23" s="341"/>
      <c r="G23" s="341"/>
      <c r="H23" s="341"/>
      <c r="I23" s="341"/>
      <c r="J23" s="341"/>
      <c r="K23" s="196"/>
      <c r="L23" s="196"/>
      <c r="M23" s="196"/>
      <c r="N23" s="196"/>
      <c r="O23" s="196"/>
      <c r="P23" s="196"/>
      <c r="Q23" s="196"/>
      <c r="R23" s="196"/>
      <c r="S23" s="196"/>
      <c r="T23" s="196"/>
      <c r="U23" s="196"/>
      <c r="V23" s="196"/>
      <c r="W23" s="196"/>
      <c r="X23" s="196"/>
      <c r="Y23" s="196"/>
      <c r="Z23" s="196"/>
    </row>
    <row r="24" spans="1:26" ht="24" x14ac:dyDescent="0.35">
      <c r="A24" s="342"/>
      <c r="B24" s="342"/>
      <c r="C24" s="342"/>
      <c r="D24" s="141"/>
      <c r="E24" s="142" t="s">
        <v>98</v>
      </c>
      <c r="F24" s="331"/>
      <c r="G24" s="331"/>
      <c r="H24" s="331"/>
      <c r="I24" s="331"/>
      <c r="J24" s="331"/>
      <c r="K24" s="196"/>
      <c r="L24" s="196"/>
      <c r="M24" s="196"/>
      <c r="N24" s="196"/>
      <c r="O24" s="196"/>
      <c r="P24" s="196"/>
      <c r="Q24" s="196"/>
      <c r="R24" s="196"/>
      <c r="S24" s="196"/>
      <c r="T24" s="196"/>
      <c r="U24" s="196"/>
      <c r="V24" s="196"/>
      <c r="W24" s="196"/>
      <c r="X24" s="196"/>
      <c r="Y24" s="196"/>
      <c r="Z24" s="196"/>
    </row>
    <row r="25" spans="1:26" ht="24" x14ac:dyDescent="0.35">
      <c r="A25" s="342"/>
      <c r="B25" s="342"/>
      <c r="C25" s="342"/>
      <c r="D25" s="141"/>
      <c r="E25" s="142" t="s">
        <v>99</v>
      </c>
      <c r="F25" s="331"/>
      <c r="G25" s="331"/>
      <c r="H25" s="331"/>
      <c r="I25" s="331"/>
      <c r="J25" s="331"/>
      <c r="K25" s="196"/>
      <c r="L25" s="196"/>
      <c r="M25" s="196"/>
      <c r="N25" s="196"/>
      <c r="O25" s="196"/>
      <c r="P25" s="196"/>
      <c r="Q25" s="196"/>
      <c r="R25" s="196"/>
      <c r="S25" s="196"/>
      <c r="T25" s="196"/>
      <c r="U25" s="196"/>
      <c r="V25" s="196"/>
      <c r="W25" s="196"/>
      <c r="X25" s="196"/>
      <c r="Y25" s="196"/>
      <c r="Z25" s="196"/>
    </row>
  </sheetData>
  <sheetProtection sheet="1" objects="1" scenarios="1"/>
  <mergeCells count="10">
    <mergeCell ref="F24:J24"/>
    <mergeCell ref="F25:J25"/>
    <mergeCell ref="A1:A2"/>
    <mergeCell ref="B1:B2"/>
    <mergeCell ref="D1:G1"/>
    <mergeCell ref="H1:J1"/>
    <mergeCell ref="F23:J23"/>
    <mergeCell ref="A23:C23"/>
    <mergeCell ref="A24:C24"/>
    <mergeCell ref="A25:C25"/>
  </mergeCells>
  <conditionalFormatting sqref="E3:J21">
    <cfRule type="cellIs" dxfId="7" priority="8" stopIfTrue="1" operator="equal">
      <formula>30</formula>
    </cfRule>
  </conditionalFormatting>
  <conditionalFormatting sqref="L3:L21 Q3:Q21 U3:U21 Y3:Y21">
    <cfRule type="cellIs" dxfId="6" priority="7" stopIfTrue="1" operator="equal">
      <formula>18</formula>
    </cfRule>
  </conditionalFormatting>
  <conditionalFormatting sqref="M3:P21 R3:T21 V3:X21 Z3:Z21">
    <cfRule type="cellIs" dxfId="5" priority="6" stopIfTrue="1" operator="equal">
      <formula>12</formula>
    </cfRule>
  </conditionalFormatting>
  <printOptions horizontalCentered="1" verticalCentered="1"/>
  <pageMargins left="0.23622047244094491" right="0.23622047244094491" top="0.15748031496062992" bottom="0.15748031496062992"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BA154"/>
  <sheetViews>
    <sheetView showGridLines="0" workbookViewId="0">
      <pane xSplit="1" ySplit="1" topLeftCell="B2" activePane="bottomRight" state="frozen"/>
      <selection activeCell="B50" sqref="B50"/>
      <selection pane="topRight" activeCell="B50" sqref="B50"/>
      <selection pane="bottomLeft" activeCell="B50" sqref="B50"/>
      <selection pane="bottomRight" activeCell="AI6" sqref="AI6"/>
    </sheetView>
  </sheetViews>
  <sheetFormatPr defaultColWidth="0" defaultRowHeight="12.75" zeroHeight="1" x14ac:dyDescent="0.2"/>
  <cols>
    <col min="1" max="1" width="7.7109375" style="28" bestFit="1" customWidth="1"/>
    <col min="2" max="41" width="3.7109375" style="28" customWidth="1"/>
    <col min="42" max="42" width="5.7109375" style="28" customWidth="1"/>
    <col min="43" max="53" width="0" style="28" hidden="1" customWidth="1"/>
    <col min="54" max="256" width="9.140625" style="28" hidden="1" customWidth="1"/>
    <col min="257" max="16384" width="9.140625" style="28" hidden="1"/>
  </cols>
  <sheetData>
    <row r="1" spans="1:42" x14ac:dyDescent="0.2">
      <c r="A1" s="27" t="s">
        <v>73</v>
      </c>
      <c r="B1" s="27">
        <v>1</v>
      </c>
      <c r="C1" s="27">
        <v>2</v>
      </c>
      <c r="D1" s="27">
        <v>3</v>
      </c>
      <c r="E1" s="27">
        <v>4</v>
      </c>
      <c r="F1" s="27">
        <v>5</v>
      </c>
      <c r="G1" s="27">
        <v>6</v>
      </c>
      <c r="H1" s="27">
        <v>7</v>
      </c>
      <c r="I1" s="27">
        <v>8</v>
      </c>
      <c r="J1" s="27">
        <v>9</v>
      </c>
      <c r="K1" s="27">
        <v>10</v>
      </c>
      <c r="L1" s="27">
        <v>11</v>
      </c>
      <c r="M1" s="27">
        <v>12</v>
      </c>
      <c r="N1" s="27">
        <v>13</v>
      </c>
      <c r="O1" s="27">
        <v>14</v>
      </c>
      <c r="P1" s="27">
        <v>15</v>
      </c>
      <c r="Q1" s="27">
        <v>16</v>
      </c>
      <c r="R1" s="27">
        <v>17</v>
      </c>
      <c r="S1" s="27">
        <v>18</v>
      </c>
      <c r="T1" s="27">
        <v>19</v>
      </c>
      <c r="U1" s="27">
        <v>20</v>
      </c>
      <c r="V1" s="27">
        <v>21</v>
      </c>
      <c r="W1" s="27">
        <v>22</v>
      </c>
      <c r="X1" s="27">
        <v>23</v>
      </c>
      <c r="Y1" s="27">
        <v>24</v>
      </c>
      <c r="Z1" s="27">
        <v>25</v>
      </c>
      <c r="AA1" s="27">
        <v>26</v>
      </c>
      <c r="AB1" s="27">
        <v>27</v>
      </c>
      <c r="AC1" s="27">
        <v>28</v>
      </c>
      <c r="AD1" s="27">
        <v>29</v>
      </c>
      <c r="AE1" s="27">
        <v>30</v>
      </c>
      <c r="AF1" s="27">
        <v>31</v>
      </c>
      <c r="AG1" s="27">
        <v>32</v>
      </c>
      <c r="AH1" s="27">
        <v>33</v>
      </c>
      <c r="AI1" s="27">
        <v>34</v>
      </c>
      <c r="AJ1" s="27">
        <v>35</v>
      </c>
      <c r="AK1" s="27">
        <v>36</v>
      </c>
      <c r="AL1" s="27">
        <v>37</v>
      </c>
      <c r="AM1" s="27">
        <v>38</v>
      </c>
      <c r="AN1" s="27">
        <v>39</v>
      </c>
      <c r="AO1" s="27">
        <v>40</v>
      </c>
    </row>
    <row r="2" spans="1:42" x14ac:dyDescent="0.2">
      <c r="A2" s="27">
        <v>4</v>
      </c>
      <c r="B2" s="27">
        <v>5</v>
      </c>
      <c r="C2" s="27">
        <v>3</v>
      </c>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8">
        <f t="shared" ref="AP2:AP6" si="0">SUM(B2:AO2)</f>
        <v>8</v>
      </c>
    </row>
    <row r="3" spans="1:42" x14ac:dyDescent="0.2">
      <c r="A3" s="27">
        <v>5</v>
      </c>
      <c r="B3" s="27">
        <v>5</v>
      </c>
      <c r="C3" s="27">
        <v>3</v>
      </c>
      <c r="D3" s="27">
        <v>2</v>
      </c>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8">
        <f t="shared" si="0"/>
        <v>10</v>
      </c>
    </row>
    <row r="4" spans="1:42" x14ac:dyDescent="0.2">
      <c r="A4" s="27">
        <v>6</v>
      </c>
      <c r="B4" s="27">
        <v>5</v>
      </c>
      <c r="C4" s="27">
        <v>4</v>
      </c>
      <c r="D4" s="27">
        <v>3</v>
      </c>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8">
        <f t="shared" si="0"/>
        <v>12</v>
      </c>
    </row>
    <row r="5" spans="1:42" x14ac:dyDescent="0.2">
      <c r="A5" s="27">
        <v>7</v>
      </c>
      <c r="B5" s="27">
        <v>6</v>
      </c>
      <c r="C5" s="27">
        <v>4</v>
      </c>
      <c r="D5" s="27">
        <v>3</v>
      </c>
      <c r="E5" s="27">
        <v>1</v>
      </c>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8">
        <f t="shared" si="0"/>
        <v>14</v>
      </c>
    </row>
    <row r="6" spans="1:42" x14ac:dyDescent="0.2">
      <c r="A6" s="27">
        <v>8</v>
      </c>
      <c r="B6" s="27">
        <v>6</v>
      </c>
      <c r="C6" s="27">
        <v>5</v>
      </c>
      <c r="D6" s="27">
        <v>3</v>
      </c>
      <c r="E6" s="27">
        <v>2</v>
      </c>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8">
        <f t="shared" si="0"/>
        <v>16</v>
      </c>
    </row>
    <row r="7" spans="1:42" x14ac:dyDescent="0.2">
      <c r="A7" s="27">
        <v>9</v>
      </c>
      <c r="B7" s="27">
        <v>6</v>
      </c>
      <c r="C7" s="27">
        <v>5</v>
      </c>
      <c r="D7" s="27">
        <v>4</v>
      </c>
      <c r="E7" s="27">
        <v>2</v>
      </c>
      <c r="F7" s="27">
        <v>1</v>
      </c>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8">
        <f t="shared" ref="AP7:AP39" si="1">SUM(B7:AO7)</f>
        <v>18</v>
      </c>
    </row>
    <row r="8" spans="1:42" x14ac:dyDescent="0.2">
      <c r="A8" s="27">
        <v>10</v>
      </c>
      <c r="B8" s="27">
        <v>6</v>
      </c>
      <c r="C8" s="27">
        <v>5</v>
      </c>
      <c r="D8" s="27">
        <v>4</v>
      </c>
      <c r="E8" s="27">
        <v>3</v>
      </c>
      <c r="F8" s="27">
        <v>2</v>
      </c>
      <c r="G8" s="27"/>
      <c r="H8" s="27"/>
      <c r="I8" s="27"/>
      <c r="J8" s="27"/>
      <c r="K8" s="27"/>
      <c r="AP8" s="28">
        <f t="shared" si="1"/>
        <v>20</v>
      </c>
    </row>
    <row r="9" spans="1:42" x14ac:dyDescent="0.2">
      <c r="A9" s="28">
        <v>11</v>
      </c>
      <c r="B9" s="28">
        <v>6</v>
      </c>
      <c r="C9" s="28">
        <v>5</v>
      </c>
      <c r="D9" s="27">
        <v>4</v>
      </c>
      <c r="E9" s="27">
        <v>3</v>
      </c>
      <c r="F9" s="28">
        <v>3</v>
      </c>
      <c r="G9" s="28">
        <v>1</v>
      </c>
      <c r="AP9" s="28">
        <f t="shared" si="1"/>
        <v>22</v>
      </c>
    </row>
    <row r="10" spans="1:42" x14ac:dyDescent="0.2">
      <c r="A10" s="27">
        <v>12</v>
      </c>
      <c r="B10" s="28">
        <v>7</v>
      </c>
      <c r="C10" s="28">
        <v>6</v>
      </c>
      <c r="D10" s="27">
        <v>4</v>
      </c>
      <c r="E10" s="27">
        <v>3</v>
      </c>
      <c r="F10" s="28">
        <v>3</v>
      </c>
      <c r="G10" s="28">
        <v>1</v>
      </c>
      <c r="AP10" s="28">
        <f t="shared" si="1"/>
        <v>24</v>
      </c>
    </row>
    <row r="11" spans="1:42" x14ac:dyDescent="0.2">
      <c r="A11" s="28">
        <v>13</v>
      </c>
      <c r="B11" s="28">
        <v>7</v>
      </c>
      <c r="C11" s="28">
        <v>6</v>
      </c>
      <c r="D11" s="27">
        <v>4</v>
      </c>
      <c r="E11" s="27">
        <v>3</v>
      </c>
      <c r="F11" s="28">
        <v>3</v>
      </c>
      <c r="G11" s="28">
        <v>2</v>
      </c>
      <c r="H11" s="28">
        <v>1</v>
      </c>
      <c r="AP11" s="28">
        <f t="shared" si="1"/>
        <v>26</v>
      </c>
    </row>
    <row r="12" spans="1:42" x14ac:dyDescent="0.2">
      <c r="A12" s="27">
        <v>14</v>
      </c>
      <c r="B12" s="28">
        <v>7</v>
      </c>
      <c r="C12" s="28">
        <v>6</v>
      </c>
      <c r="D12" s="27">
        <v>5</v>
      </c>
      <c r="E12" s="27">
        <v>4</v>
      </c>
      <c r="F12" s="28">
        <v>3</v>
      </c>
      <c r="G12" s="28">
        <v>2</v>
      </c>
      <c r="H12" s="28">
        <v>1</v>
      </c>
      <c r="AP12" s="28">
        <f t="shared" si="1"/>
        <v>28</v>
      </c>
    </row>
    <row r="13" spans="1:42" x14ac:dyDescent="0.2">
      <c r="A13" s="28">
        <v>15</v>
      </c>
      <c r="B13" s="28">
        <v>7</v>
      </c>
      <c r="C13" s="28">
        <v>6</v>
      </c>
      <c r="D13" s="27">
        <v>5</v>
      </c>
      <c r="E13" s="27">
        <v>4</v>
      </c>
      <c r="F13" s="28">
        <v>3</v>
      </c>
      <c r="G13" s="28">
        <v>3</v>
      </c>
      <c r="H13" s="28">
        <v>1</v>
      </c>
      <c r="I13" s="28">
        <v>1</v>
      </c>
      <c r="AP13" s="28">
        <f t="shared" si="1"/>
        <v>30</v>
      </c>
    </row>
    <row r="14" spans="1:42" x14ac:dyDescent="0.2">
      <c r="A14" s="27">
        <v>16</v>
      </c>
      <c r="B14" s="28">
        <v>8</v>
      </c>
      <c r="C14" s="28">
        <v>7</v>
      </c>
      <c r="D14" s="27">
        <v>5</v>
      </c>
      <c r="E14" s="27">
        <v>4</v>
      </c>
      <c r="F14" s="28">
        <v>3</v>
      </c>
      <c r="G14" s="28">
        <v>3</v>
      </c>
      <c r="H14" s="28">
        <v>1</v>
      </c>
      <c r="I14" s="28">
        <v>1</v>
      </c>
      <c r="AP14" s="28">
        <f t="shared" si="1"/>
        <v>32</v>
      </c>
    </row>
    <row r="15" spans="1:42" x14ac:dyDescent="0.2">
      <c r="A15" s="28">
        <v>17</v>
      </c>
      <c r="B15" s="28">
        <v>8</v>
      </c>
      <c r="C15" s="28">
        <v>7</v>
      </c>
      <c r="D15" s="27">
        <v>5</v>
      </c>
      <c r="E15" s="27">
        <v>4</v>
      </c>
      <c r="F15" s="28">
        <v>3</v>
      </c>
      <c r="G15" s="28">
        <v>3</v>
      </c>
      <c r="H15" s="28">
        <v>2</v>
      </c>
      <c r="I15" s="28">
        <v>1</v>
      </c>
      <c r="J15" s="28">
        <v>1</v>
      </c>
      <c r="AP15" s="28">
        <f t="shared" si="1"/>
        <v>34</v>
      </c>
    </row>
    <row r="16" spans="1:42" x14ac:dyDescent="0.2">
      <c r="A16" s="27">
        <v>18</v>
      </c>
      <c r="B16" s="28">
        <v>8</v>
      </c>
      <c r="C16" s="28">
        <v>7</v>
      </c>
      <c r="D16" s="27">
        <v>5</v>
      </c>
      <c r="E16" s="27">
        <v>5</v>
      </c>
      <c r="F16" s="27">
        <v>4</v>
      </c>
      <c r="G16" s="27">
        <v>3</v>
      </c>
      <c r="H16" s="28">
        <v>2</v>
      </c>
      <c r="I16" s="28">
        <v>1</v>
      </c>
      <c r="J16" s="28">
        <v>1</v>
      </c>
      <c r="AP16" s="28">
        <f t="shared" si="1"/>
        <v>36</v>
      </c>
    </row>
    <row r="17" spans="1:42" x14ac:dyDescent="0.2">
      <c r="A17" s="28">
        <v>19</v>
      </c>
      <c r="B17" s="28">
        <v>8</v>
      </c>
      <c r="C17" s="28">
        <v>7</v>
      </c>
      <c r="D17" s="27">
        <v>6</v>
      </c>
      <c r="E17" s="27">
        <v>5</v>
      </c>
      <c r="F17" s="27">
        <v>4</v>
      </c>
      <c r="G17" s="27">
        <v>3</v>
      </c>
      <c r="H17" s="28">
        <v>2</v>
      </c>
      <c r="I17" s="28">
        <v>1</v>
      </c>
      <c r="J17" s="28">
        <v>1</v>
      </c>
      <c r="K17" s="28">
        <v>1</v>
      </c>
      <c r="AP17" s="28">
        <f t="shared" si="1"/>
        <v>38</v>
      </c>
    </row>
    <row r="18" spans="1:42" x14ac:dyDescent="0.2">
      <c r="A18" s="27">
        <v>20</v>
      </c>
      <c r="B18" s="28">
        <v>8</v>
      </c>
      <c r="C18" s="28">
        <v>7</v>
      </c>
      <c r="D18" s="27">
        <v>6</v>
      </c>
      <c r="E18" s="27">
        <v>5</v>
      </c>
      <c r="F18" s="27">
        <v>4</v>
      </c>
      <c r="G18" s="27">
        <v>3</v>
      </c>
      <c r="H18" s="27">
        <v>3</v>
      </c>
      <c r="I18" s="27">
        <v>2</v>
      </c>
      <c r="J18" s="28">
        <v>1</v>
      </c>
      <c r="K18" s="28">
        <v>1</v>
      </c>
      <c r="AP18" s="28">
        <f t="shared" si="1"/>
        <v>40</v>
      </c>
    </row>
    <row r="19" spans="1:42" x14ac:dyDescent="0.2">
      <c r="A19" s="28">
        <v>21</v>
      </c>
      <c r="B19" s="28">
        <v>8</v>
      </c>
      <c r="C19" s="28">
        <v>7</v>
      </c>
      <c r="D19" s="27">
        <v>6</v>
      </c>
      <c r="E19" s="27">
        <v>5</v>
      </c>
      <c r="F19" s="27">
        <v>4</v>
      </c>
      <c r="G19" s="27">
        <v>4</v>
      </c>
      <c r="H19" s="27">
        <v>3</v>
      </c>
      <c r="I19" s="27">
        <v>2</v>
      </c>
      <c r="J19" s="28">
        <v>1</v>
      </c>
      <c r="K19" s="28">
        <v>1</v>
      </c>
      <c r="L19" s="27">
        <v>1</v>
      </c>
      <c r="AP19" s="28">
        <f t="shared" si="1"/>
        <v>42</v>
      </c>
    </row>
    <row r="20" spans="1:42" x14ac:dyDescent="0.2">
      <c r="A20" s="27">
        <v>22</v>
      </c>
      <c r="B20" s="28">
        <v>8</v>
      </c>
      <c r="C20" s="28">
        <v>7</v>
      </c>
      <c r="D20" s="27">
        <v>6</v>
      </c>
      <c r="E20" s="27">
        <v>5</v>
      </c>
      <c r="F20" s="27">
        <v>4</v>
      </c>
      <c r="G20" s="27">
        <v>4</v>
      </c>
      <c r="H20" s="27">
        <v>3</v>
      </c>
      <c r="I20" s="27">
        <v>3</v>
      </c>
      <c r="J20" s="27">
        <v>2</v>
      </c>
      <c r="K20" s="28">
        <v>1</v>
      </c>
      <c r="L20" s="27">
        <v>1</v>
      </c>
      <c r="AP20" s="28">
        <f t="shared" si="1"/>
        <v>44</v>
      </c>
    </row>
    <row r="21" spans="1:42" x14ac:dyDescent="0.2">
      <c r="A21" s="28">
        <v>23</v>
      </c>
      <c r="B21" s="28">
        <v>8</v>
      </c>
      <c r="C21" s="28">
        <v>7</v>
      </c>
      <c r="D21" s="27">
        <v>6</v>
      </c>
      <c r="E21" s="27">
        <v>5</v>
      </c>
      <c r="F21" s="27">
        <v>5</v>
      </c>
      <c r="G21" s="27">
        <v>4</v>
      </c>
      <c r="H21" s="27">
        <v>3</v>
      </c>
      <c r="I21" s="27">
        <v>3</v>
      </c>
      <c r="J21" s="27">
        <v>2</v>
      </c>
      <c r="K21" s="28">
        <v>1</v>
      </c>
      <c r="L21" s="27">
        <v>1</v>
      </c>
      <c r="M21" s="27">
        <v>1</v>
      </c>
      <c r="AP21" s="28">
        <f t="shared" si="1"/>
        <v>46</v>
      </c>
    </row>
    <row r="22" spans="1:42" x14ac:dyDescent="0.2">
      <c r="A22" s="27">
        <v>24</v>
      </c>
      <c r="B22" s="28">
        <v>8</v>
      </c>
      <c r="C22" s="28">
        <v>7</v>
      </c>
      <c r="D22" s="27">
        <v>7</v>
      </c>
      <c r="E22" s="27">
        <v>6</v>
      </c>
      <c r="F22" s="27">
        <v>5</v>
      </c>
      <c r="G22" s="27">
        <v>4</v>
      </c>
      <c r="H22" s="27">
        <v>3</v>
      </c>
      <c r="I22" s="27">
        <v>3</v>
      </c>
      <c r="J22" s="27">
        <v>2</v>
      </c>
      <c r="K22" s="28">
        <v>1</v>
      </c>
      <c r="L22" s="27">
        <v>1</v>
      </c>
      <c r="M22" s="27">
        <v>1</v>
      </c>
      <c r="AP22" s="28">
        <f t="shared" si="1"/>
        <v>48</v>
      </c>
    </row>
    <row r="23" spans="1:42" x14ac:dyDescent="0.2">
      <c r="A23" s="28">
        <v>25</v>
      </c>
      <c r="B23" s="28">
        <v>8</v>
      </c>
      <c r="C23" s="28">
        <v>7</v>
      </c>
      <c r="D23" s="27">
        <v>7</v>
      </c>
      <c r="E23" s="27">
        <v>6</v>
      </c>
      <c r="F23" s="27">
        <v>5</v>
      </c>
      <c r="G23" s="27">
        <v>4</v>
      </c>
      <c r="H23" s="27">
        <v>4</v>
      </c>
      <c r="I23" s="27">
        <v>3</v>
      </c>
      <c r="J23" s="27">
        <v>2</v>
      </c>
      <c r="K23" s="28">
        <v>1</v>
      </c>
      <c r="L23" s="27">
        <v>1</v>
      </c>
      <c r="M23" s="27">
        <v>1</v>
      </c>
      <c r="N23" s="27">
        <v>1</v>
      </c>
      <c r="AP23" s="28">
        <f t="shared" si="1"/>
        <v>50</v>
      </c>
    </row>
    <row r="24" spans="1:42" x14ac:dyDescent="0.2">
      <c r="A24" s="27">
        <v>26</v>
      </c>
      <c r="B24" s="28">
        <v>9</v>
      </c>
      <c r="C24" s="28">
        <v>8</v>
      </c>
      <c r="D24" s="27">
        <v>7</v>
      </c>
      <c r="E24" s="27">
        <v>6</v>
      </c>
      <c r="F24" s="27">
        <v>5</v>
      </c>
      <c r="G24" s="27">
        <v>4</v>
      </c>
      <c r="H24" s="27">
        <v>4</v>
      </c>
      <c r="I24" s="27">
        <v>3</v>
      </c>
      <c r="J24" s="27">
        <v>2</v>
      </c>
      <c r="K24" s="28">
        <v>1</v>
      </c>
      <c r="L24" s="27">
        <v>1</v>
      </c>
      <c r="M24" s="27">
        <v>1</v>
      </c>
      <c r="N24" s="27">
        <v>1</v>
      </c>
      <c r="AP24" s="28">
        <f t="shared" si="1"/>
        <v>52</v>
      </c>
    </row>
    <row r="25" spans="1:42" x14ac:dyDescent="0.2">
      <c r="A25" s="28">
        <v>27</v>
      </c>
      <c r="B25" s="28">
        <v>9</v>
      </c>
      <c r="C25" s="28">
        <v>8</v>
      </c>
      <c r="D25" s="27">
        <v>7</v>
      </c>
      <c r="E25" s="27">
        <v>6</v>
      </c>
      <c r="F25" s="27">
        <v>5</v>
      </c>
      <c r="G25" s="27">
        <v>4</v>
      </c>
      <c r="H25" s="27">
        <v>4</v>
      </c>
      <c r="I25" s="27">
        <v>3</v>
      </c>
      <c r="J25" s="27">
        <v>2</v>
      </c>
      <c r="K25" s="27">
        <v>2</v>
      </c>
      <c r="L25" s="27">
        <v>1</v>
      </c>
      <c r="M25" s="27">
        <v>1</v>
      </c>
      <c r="N25" s="27">
        <v>1</v>
      </c>
      <c r="O25" s="27">
        <v>1</v>
      </c>
      <c r="AP25" s="28">
        <f t="shared" si="1"/>
        <v>54</v>
      </c>
    </row>
    <row r="26" spans="1:42" x14ac:dyDescent="0.2">
      <c r="A26" s="27">
        <v>28</v>
      </c>
      <c r="B26" s="28">
        <v>9</v>
      </c>
      <c r="C26" s="28">
        <v>8</v>
      </c>
      <c r="D26" s="27">
        <v>7</v>
      </c>
      <c r="E26" s="27">
        <v>6</v>
      </c>
      <c r="F26" s="27">
        <v>6</v>
      </c>
      <c r="G26" s="27">
        <v>5</v>
      </c>
      <c r="H26" s="27">
        <v>4</v>
      </c>
      <c r="I26" s="27">
        <v>3</v>
      </c>
      <c r="J26" s="27">
        <v>2</v>
      </c>
      <c r="K26" s="27">
        <v>2</v>
      </c>
      <c r="L26" s="27">
        <v>1</v>
      </c>
      <c r="M26" s="27">
        <v>1</v>
      </c>
      <c r="N26" s="27">
        <v>1</v>
      </c>
      <c r="O26" s="27">
        <v>1</v>
      </c>
      <c r="AP26" s="28">
        <f t="shared" si="1"/>
        <v>56</v>
      </c>
    </row>
    <row r="27" spans="1:42" x14ac:dyDescent="0.2">
      <c r="A27" s="28">
        <v>29</v>
      </c>
      <c r="B27" s="28">
        <v>9</v>
      </c>
      <c r="C27" s="28">
        <v>8</v>
      </c>
      <c r="D27" s="27">
        <v>7</v>
      </c>
      <c r="E27" s="27">
        <v>6</v>
      </c>
      <c r="F27" s="27">
        <v>6</v>
      </c>
      <c r="G27" s="27">
        <v>5</v>
      </c>
      <c r="H27" s="27">
        <v>4</v>
      </c>
      <c r="I27" s="27">
        <v>3</v>
      </c>
      <c r="J27" s="27">
        <v>3</v>
      </c>
      <c r="K27" s="27">
        <v>2</v>
      </c>
      <c r="L27" s="27">
        <v>1</v>
      </c>
      <c r="M27" s="27">
        <v>1</v>
      </c>
      <c r="N27" s="27">
        <v>1</v>
      </c>
      <c r="O27" s="27">
        <v>1</v>
      </c>
      <c r="P27" s="27">
        <v>1</v>
      </c>
      <c r="AP27" s="28">
        <f t="shared" si="1"/>
        <v>58</v>
      </c>
    </row>
    <row r="28" spans="1:42" x14ac:dyDescent="0.2">
      <c r="A28" s="27">
        <v>30</v>
      </c>
      <c r="B28" s="28">
        <v>9</v>
      </c>
      <c r="C28" s="28">
        <v>8</v>
      </c>
      <c r="D28" s="27">
        <v>7</v>
      </c>
      <c r="E28" s="27">
        <v>7</v>
      </c>
      <c r="F28" s="27">
        <v>6</v>
      </c>
      <c r="G28" s="27">
        <v>5</v>
      </c>
      <c r="H28" s="27">
        <v>4</v>
      </c>
      <c r="I28" s="27">
        <v>4</v>
      </c>
      <c r="J28" s="27">
        <v>3</v>
      </c>
      <c r="K28" s="27">
        <v>2</v>
      </c>
      <c r="L28" s="27">
        <v>1</v>
      </c>
      <c r="M28" s="27">
        <v>1</v>
      </c>
      <c r="N28" s="27">
        <v>1</v>
      </c>
      <c r="O28" s="27">
        <v>1</v>
      </c>
      <c r="P28" s="27">
        <v>1</v>
      </c>
      <c r="AP28" s="28">
        <f t="shared" si="1"/>
        <v>60</v>
      </c>
    </row>
    <row r="29" spans="1:42" x14ac:dyDescent="0.2">
      <c r="A29" s="28">
        <v>31</v>
      </c>
      <c r="B29" s="28">
        <v>9</v>
      </c>
      <c r="C29" s="28">
        <v>8</v>
      </c>
      <c r="D29" s="27">
        <v>8</v>
      </c>
      <c r="E29" s="27">
        <v>7</v>
      </c>
      <c r="F29" s="27">
        <v>6</v>
      </c>
      <c r="G29" s="27">
        <v>5</v>
      </c>
      <c r="H29" s="27">
        <v>4</v>
      </c>
      <c r="I29" s="27">
        <v>4</v>
      </c>
      <c r="J29" s="27">
        <v>3</v>
      </c>
      <c r="K29" s="27">
        <v>2</v>
      </c>
      <c r="L29" s="27">
        <v>1</v>
      </c>
      <c r="M29" s="27">
        <v>1</v>
      </c>
      <c r="N29" s="27">
        <v>1</v>
      </c>
      <c r="O29" s="27">
        <v>1</v>
      </c>
      <c r="P29" s="27">
        <v>1</v>
      </c>
      <c r="Q29" s="27">
        <v>1</v>
      </c>
      <c r="AP29" s="28">
        <f t="shared" si="1"/>
        <v>62</v>
      </c>
    </row>
    <row r="30" spans="1:42" x14ac:dyDescent="0.2">
      <c r="A30" s="27">
        <v>32</v>
      </c>
      <c r="B30" s="28">
        <v>10</v>
      </c>
      <c r="C30" s="28">
        <v>9</v>
      </c>
      <c r="D30" s="27">
        <v>8</v>
      </c>
      <c r="E30" s="27">
        <v>7</v>
      </c>
      <c r="F30" s="27">
        <v>6</v>
      </c>
      <c r="G30" s="27">
        <v>5</v>
      </c>
      <c r="H30" s="27">
        <v>4</v>
      </c>
      <c r="I30" s="27">
        <v>4</v>
      </c>
      <c r="J30" s="27">
        <v>3</v>
      </c>
      <c r="K30" s="27">
        <v>2</v>
      </c>
      <c r="L30" s="27">
        <v>1</v>
      </c>
      <c r="M30" s="27">
        <v>1</v>
      </c>
      <c r="N30" s="27">
        <v>1</v>
      </c>
      <c r="O30" s="27">
        <v>1</v>
      </c>
      <c r="P30" s="27">
        <v>1</v>
      </c>
      <c r="Q30" s="27">
        <v>1</v>
      </c>
      <c r="AP30" s="28">
        <f t="shared" si="1"/>
        <v>64</v>
      </c>
    </row>
    <row r="31" spans="1:42" x14ac:dyDescent="0.2">
      <c r="A31" s="28">
        <v>33</v>
      </c>
      <c r="B31" s="28">
        <v>10</v>
      </c>
      <c r="C31" s="28">
        <v>9</v>
      </c>
      <c r="D31" s="27">
        <v>8</v>
      </c>
      <c r="E31" s="27">
        <v>7</v>
      </c>
      <c r="F31" s="27">
        <v>6</v>
      </c>
      <c r="G31" s="27">
        <v>5</v>
      </c>
      <c r="H31" s="27">
        <v>4</v>
      </c>
      <c r="I31" s="27">
        <v>4</v>
      </c>
      <c r="J31" s="27">
        <v>3</v>
      </c>
      <c r="K31" s="27">
        <v>2</v>
      </c>
      <c r="L31" s="27">
        <v>2</v>
      </c>
      <c r="M31" s="27">
        <v>1</v>
      </c>
      <c r="N31" s="27">
        <v>1</v>
      </c>
      <c r="O31" s="27">
        <v>1</v>
      </c>
      <c r="P31" s="27">
        <v>1</v>
      </c>
      <c r="Q31" s="27">
        <v>1</v>
      </c>
      <c r="R31" s="27">
        <v>1</v>
      </c>
      <c r="AP31" s="28">
        <f t="shared" si="1"/>
        <v>66</v>
      </c>
    </row>
    <row r="32" spans="1:42" x14ac:dyDescent="0.2">
      <c r="A32" s="27">
        <v>34</v>
      </c>
      <c r="B32" s="28">
        <v>10</v>
      </c>
      <c r="C32" s="28">
        <v>9</v>
      </c>
      <c r="D32" s="27">
        <v>8</v>
      </c>
      <c r="E32" s="27">
        <v>7</v>
      </c>
      <c r="F32" s="27">
        <v>6</v>
      </c>
      <c r="G32" s="27">
        <v>5</v>
      </c>
      <c r="H32" s="27">
        <v>4</v>
      </c>
      <c r="I32" s="27">
        <v>4</v>
      </c>
      <c r="J32" s="27">
        <v>3</v>
      </c>
      <c r="K32" s="27">
        <v>3</v>
      </c>
      <c r="L32" s="27">
        <v>2</v>
      </c>
      <c r="M32" s="27">
        <v>2</v>
      </c>
      <c r="N32" s="27">
        <v>1</v>
      </c>
      <c r="O32" s="27">
        <v>1</v>
      </c>
      <c r="P32" s="27">
        <v>1</v>
      </c>
      <c r="Q32" s="27">
        <v>1</v>
      </c>
      <c r="R32" s="27">
        <v>1</v>
      </c>
      <c r="AP32" s="28">
        <f t="shared" si="1"/>
        <v>68</v>
      </c>
    </row>
    <row r="33" spans="1:42" x14ac:dyDescent="0.2">
      <c r="A33" s="28">
        <v>35</v>
      </c>
      <c r="B33" s="28">
        <v>10</v>
      </c>
      <c r="C33" s="28">
        <v>9</v>
      </c>
      <c r="D33" s="27">
        <v>8</v>
      </c>
      <c r="E33" s="27">
        <v>7</v>
      </c>
      <c r="F33" s="27">
        <v>6</v>
      </c>
      <c r="G33" s="27">
        <v>5</v>
      </c>
      <c r="H33" s="27">
        <v>5</v>
      </c>
      <c r="I33" s="27">
        <v>4</v>
      </c>
      <c r="J33" s="27">
        <v>3</v>
      </c>
      <c r="K33" s="27">
        <v>3</v>
      </c>
      <c r="L33" s="27">
        <v>2</v>
      </c>
      <c r="M33" s="27">
        <v>2</v>
      </c>
      <c r="N33" s="27">
        <v>1</v>
      </c>
      <c r="O33" s="27">
        <v>1</v>
      </c>
      <c r="P33" s="27">
        <v>1</v>
      </c>
      <c r="Q33" s="27">
        <v>1</v>
      </c>
      <c r="R33" s="27">
        <v>1</v>
      </c>
      <c r="S33" s="27">
        <v>1</v>
      </c>
      <c r="AP33" s="28">
        <f t="shared" si="1"/>
        <v>70</v>
      </c>
    </row>
    <row r="34" spans="1:42" x14ac:dyDescent="0.2">
      <c r="A34" s="27">
        <v>36</v>
      </c>
      <c r="B34" s="28">
        <v>10</v>
      </c>
      <c r="C34" s="28">
        <v>9</v>
      </c>
      <c r="D34" s="27">
        <v>8</v>
      </c>
      <c r="E34" s="27">
        <v>7</v>
      </c>
      <c r="F34" s="27">
        <v>6</v>
      </c>
      <c r="G34" s="27">
        <v>6</v>
      </c>
      <c r="H34" s="27">
        <v>5</v>
      </c>
      <c r="I34" s="27">
        <v>4</v>
      </c>
      <c r="J34" s="27">
        <v>3</v>
      </c>
      <c r="K34" s="27">
        <v>3</v>
      </c>
      <c r="L34" s="27">
        <v>2</v>
      </c>
      <c r="M34" s="27">
        <v>2</v>
      </c>
      <c r="N34" s="27">
        <v>2</v>
      </c>
      <c r="O34" s="27">
        <v>1</v>
      </c>
      <c r="P34" s="27">
        <v>1</v>
      </c>
      <c r="Q34" s="27">
        <v>1</v>
      </c>
      <c r="R34" s="27">
        <v>1</v>
      </c>
      <c r="S34" s="27">
        <v>1</v>
      </c>
      <c r="AP34" s="28">
        <f t="shared" si="1"/>
        <v>72</v>
      </c>
    </row>
    <row r="35" spans="1:42" x14ac:dyDescent="0.2">
      <c r="A35" s="28">
        <v>37</v>
      </c>
      <c r="B35" s="28">
        <v>10</v>
      </c>
      <c r="C35" s="28">
        <v>9</v>
      </c>
      <c r="D35" s="27">
        <v>8</v>
      </c>
      <c r="E35" s="27">
        <v>7</v>
      </c>
      <c r="F35" s="27">
        <v>6</v>
      </c>
      <c r="G35" s="27">
        <v>6</v>
      </c>
      <c r="H35" s="27">
        <v>5</v>
      </c>
      <c r="I35" s="27">
        <v>4</v>
      </c>
      <c r="J35" s="27">
        <v>4</v>
      </c>
      <c r="K35" s="27">
        <v>3</v>
      </c>
      <c r="L35" s="27">
        <v>2</v>
      </c>
      <c r="M35" s="27">
        <v>2</v>
      </c>
      <c r="N35" s="27">
        <v>2</v>
      </c>
      <c r="O35" s="27">
        <v>1</v>
      </c>
      <c r="P35" s="27">
        <v>1</v>
      </c>
      <c r="Q35" s="27">
        <v>1</v>
      </c>
      <c r="R35" s="27">
        <v>1</v>
      </c>
      <c r="S35" s="27">
        <v>1</v>
      </c>
      <c r="T35" s="27">
        <v>1</v>
      </c>
      <c r="AP35" s="28">
        <f t="shared" si="1"/>
        <v>74</v>
      </c>
    </row>
    <row r="36" spans="1:42" x14ac:dyDescent="0.2">
      <c r="A36" s="27">
        <v>38</v>
      </c>
      <c r="B36" s="28">
        <v>10</v>
      </c>
      <c r="C36" s="28">
        <v>9</v>
      </c>
      <c r="D36" s="27">
        <v>8</v>
      </c>
      <c r="E36" s="27">
        <v>8</v>
      </c>
      <c r="F36" s="27">
        <v>7</v>
      </c>
      <c r="G36" s="27">
        <v>6</v>
      </c>
      <c r="H36" s="27">
        <v>5</v>
      </c>
      <c r="I36" s="27">
        <v>4</v>
      </c>
      <c r="J36" s="27">
        <v>4</v>
      </c>
      <c r="K36" s="27">
        <v>3</v>
      </c>
      <c r="L36" s="27">
        <v>2</v>
      </c>
      <c r="M36" s="27">
        <v>2</v>
      </c>
      <c r="N36" s="27">
        <v>2</v>
      </c>
      <c r="O36" s="27">
        <v>1</v>
      </c>
      <c r="P36" s="27">
        <v>1</v>
      </c>
      <c r="Q36" s="27">
        <v>1</v>
      </c>
      <c r="R36" s="27">
        <v>1</v>
      </c>
      <c r="S36" s="27">
        <v>1</v>
      </c>
      <c r="T36" s="27">
        <v>1</v>
      </c>
      <c r="AP36" s="28">
        <f t="shared" si="1"/>
        <v>76</v>
      </c>
    </row>
    <row r="37" spans="1:42" x14ac:dyDescent="0.2">
      <c r="A37" s="28">
        <v>39</v>
      </c>
      <c r="B37" s="28">
        <v>10</v>
      </c>
      <c r="C37" s="28">
        <v>9</v>
      </c>
      <c r="D37" s="27">
        <v>8</v>
      </c>
      <c r="E37" s="27">
        <v>8</v>
      </c>
      <c r="F37" s="27">
        <v>7</v>
      </c>
      <c r="G37" s="27">
        <v>6</v>
      </c>
      <c r="H37" s="27">
        <v>5</v>
      </c>
      <c r="I37" s="27">
        <v>4</v>
      </c>
      <c r="J37" s="27">
        <v>4</v>
      </c>
      <c r="K37" s="27">
        <v>3</v>
      </c>
      <c r="L37" s="27">
        <v>2</v>
      </c>
      <c r="M37" s="27">
        <v>2</v>
      </c>
      <c r="N37" s="27">
        <v>2</v>
      </c>
      <c r="O37" s="27">
        <v>2</v>
      </c>
      <c r="P37" s="27">
        <v>1</v>
      </c>
      <c r="Q37" s="27">
        <v>1</v>
      </c>
      <c r="R37" s="27">
        <v>1</v>
      </c>
      <c r="S37" s="27">
        <v>1</v>
      </c>
      <c r="T37" s="27">
        <v>1</v>
      </c>
      <c r="U37" s="27">
        <v>1</v>
      </c>
      <c r="AP37" s="28">
        <f t="shared" si="1"/>
        <v>78</v>
      </c>
    </row>
    <row r="38" spans="1:42" x14ac:dyDescent="0.2">
      <c r="A38" s="27">
        <v>40</v>
      </c>
      <c r="B38" s="28">
        <v>10</v>
      </c>
      <c r="C38" s="28">
        <v>9</v>
      </c>
      <c r="D38" s="27">
        <v>9</v>
      </c>
      <c r="E38" s="27">
        <v>8</v>
      </c>
      <c r="F38" s="27">
        <v>7</v>
      </c>
      <c r="G38" s="27">
        <v>6</v>
      </c>
      <c r="H38" s="27">
        <v>5</v>
      </c>
      <c r="I38" s="27">
        <v>4</v>
      </c>
      <c r="J38" s="27">
        <v>4</v>
      </c>
      <c r="K38" s="27">
        <v>3</v>
      </c>
      <c r="L38" s="27">
        <v>3</v>
      </c>
      <c r="M38" s="27">
        <v>2</v>
      </c>
      <c r="N38" s="27">
        <v>2</v>
      </c>
      <c r="O38" s="27">
        <v>2</v>
      </c>
      <c r="P38" s="27">
        <v>1</v>
      </c>
      <c r="Q38" s="27">
        <v>1</v>
      </c>
      <c r="R38" s="27">
        <v>1</v>
      </c>
      <c r="S38" s="27">
        <v>1</v>
      </c>
      <c r="T38" s="27">
        <v>1</v>
      </c>
      <c r="U38" s="27">
        <v>1</v>
      </c>
      <c r="AP38" s="28">
        <f t="shared" si="1"/>
        <v>80</v>
      </c>
    </row>
    <row r="39" spans="1:42" x14ac:dyDescent="0.2">
      <c r="A39" s="28">
        <v>41</v>
      </c>
      <c r="B39" s="28">
        <v>10</v>
      </c>
      <c r="C39" s="28">
        <v>9</v>
      </c>
      <c r="D39" s="27">
        <v>9</v>
      </c>
      <c r="E39" s="27">
        <v>8</v>
      </c>
      <c r="F39" s="27">
        <v>7</v>
      </c>
      <c r="G39" s="27">
        <v>6</v>
      </c>
      <c r="H39" s="27">
        <v>5</v>
      </c>
      <c r="I39" s="27">
        <v>4</v>
      </c>
      <c r="J39" s="27">
        <v>4</v>
      </c>
      <c r="K39" s="27">
        <v>3</v>
      </c>
      <c r="L39" s="27">
        <v>3</v>
      </c>
      <c r="M39" s="27">
        <v>2</v>
      </c>
      <c r="N39" s="27">
        <v>2</v>
      </c>
      <c r="O39" s="27">
        <v>2</v>
      </c>
      <c r="P39" s="27">
        <v>2</v>
      </c>
      <c r="Q39" s="27">
        <v>1</v>
      </c>
      <c r="R39" s="27">
        <v>1</v>
      </c>
      <c r="S39" s="27">
        <v>1</v>
      </c>
      <c r="T39" s="27">
        <v>1</v>
      </c>
      <c r="U39" s="27">
        <v>1</v>
      </c>
      <c r="V39" s="27">
        <v>1</v>
      </c>
      <c r="AP39" s="28">
        <f t="shared" si="1"/>
        <v>82</v>
      </c>
    </row>
    <row r="40" spans="1:42" x14ac:dyDescent="0.2">
      <c r="A40" s="27">
        <v>42</v>
      </c>
      <c r="B40" s="28">
        <v>11</v>
      </c>
      <c r="C40" s="28">
        <v>10</v>
      </c>
      <c r="D40" s="27">
        <v>9</v>
      </c>
      <c r="E40" s="27">
        <v>8</v>
      </c>
      <c r="F40" s="27">
        <v>7</v>
      </c>
      <c r="G40" s="27">
        <v>6</v>
      </c>
      <c r="H40" s="27">
        <v>5</v>
      </c>
      <c r="I40" s="27">
        <v>4</v>
      </c>
      <c r="J40" s="27">
        <v>4</v>
      </c>
      <c r="K40" s="27">
        <v>3</v>
      </c>
      <c r="L40" s="27">
        <v>3</v>
      </c>
      <c r="M40" s="27">
        <v>2</v>
      </c>
      <c r="N40" s="27">
        <v>2</v>
      </c>
      <c r="O40" s="27">
        <v>2</v>
      </c>
      <c r="P40" s="27">
        <v>2</v>
      </c>
      <c r="Q40" s="27">
        <v>1</v>
      </c>
      <c r="R40" s="27">
        <v>1</v>
      </c>
      <c r="S40" s="27">
        <v>1</v>
      </c>
      <c r="T40" s="27">
        <v>1</v>
      </c>
      <c r="U40" s="27">
        <v>1</v>
      </c>
      <c r="V40" s="27">
        <v>1</v>
      </c>
      <c r="AP40" s="28">
        <f t="shared" ref="AP40:AP71" si="2">SUM(B40:AO40)</f>
        <v>84</v>
      </c>
    </row>
    <row r="41" spans="1:42" x14ac:dyDescent="0.2">
      <c r="A41" s="28">
        <v>43</v>
      </c>
      <c r="B41" s="28">
        <v>11</v>
      </c>
      <c r="C41" s="28">
        <v>10</v>
      </c>
      <c r="D41" s="27">
        <v>9</v>
      </c>
      <c r="E41" s="27">
        <v>8</v>
      </c>
      <c r="F41" s="27">
        <v>7</v>
      </c>
      <c r="G41" s="27">
        <v>6</v>
      </c>
      <c r="H41" s="27">
        <v>5</v>
      </c>
      <c r="I41" s="27">
        <v>4</v>
      </c>
      <c r="J41" s="27">
        <v>4</v>
      </c>
      <c r="K41" s="27">
        <v>3</v>
      </c>
      <c r="L41" s="27">
        <v>3</v>
      </c>
      <c r="M41" s="27">
        <v>2</v>
      </c>
      <c r="N41" s="27">
        <v>2</v>
      </c>
      <c r="O41" s="27">
        <v>2</v>
      </c>
      <c r="P41" s="27">
        <v>2</v>
      </c>
      <c r="Q41" s="27">
        <v>2</v>
      </c>
      <c r="R41" s="27">
        <v>1</v>
      </c>
      <c r="S41" s="27">
        <v>1</v>
      </c>
      <c r="T41" s="27">
        <v>1</v>
      </c>
      <c r="U41" s="27">
        <v>1</v>
      </c>
      <c r="V41" s="27">
        <v>1</v>
      </c>
      <c r="W41" s="27">
        <v>1</v>
      </c>
      <c r="AP41" s="28">
        <f t="shared" si="2"/>
        <v>86</v>
      </c>
    </row>
    <row r="42" spans="1:42" x14ac:dyDescent="0.2">
      <c r="A42" s="27">
        <v>44</v>
      </c>
      <c r="B42" s="28">
        <v>11</v>
      </c>
      <c r="C42" s="28">
        <v>10</v>
      </c>
      <c r="D42" s="27">
        <v>9</v>
      </c>
      <c r="E42" s="27">
        <v>8</v>
      </c>
      <c r="F42" s="27">
        <v>7</v>
      </c>
      <c r="G42" s="27">
        <v>6</v>
      </c>
      <c r="H42" s="27">
        <v>5</v>
      </c>
      <c r="I42" s="27">
        <v>5</v>
      </c>
      <c r="J42" s="27">
        <v>4</v>
      </c>
      <c r="K42" s="27">
        <v>3</v>
      </c>
      <c r="L42" s="27">
        <v>3</v>
      </c>
      <c r="M42" s="27">
        <v>3</v>
      </c>
      <c r="N42" s="27">
        <v>2</v>
      </c>
      <c r="O42" s="27">
        <v>2</v>
      </c>
      <c r="P42" s="27">
        <v>2</v>
      </c>
      <c r="Q42" s="27">
        <v>2</v>
      </c>
      <c r="R42" s="27">
        <v>1</v>
      </c>
      <c r="S42" s="27">
        <v>1</v>
      </c>
      <c r="T42" s="27">
        <v>1</v>
      </c>
      <c r="U42" s="27">
        <v>1</v>
      </c>
      <c r="V42" s="27">
        <v>1</v>
      </c>
      <c r="W42" s="27">
        <v>1</v>
      </c>
      <c r="AP42" s="28">
        <f t="shared" si="2"/>
        <v>88</v>
      </c>
    </row>
    <row r="43" spans="1:42" x14ac:dyDescent="0.2">
      <c r="A43" s="28">
        <v>45</v>
      </c>
      <c r="B43" s="28">
        <v>11</v>
      </c>
      <c r="C43" s="28">
        <v>10</v>
      </c>
      <c r="D43" s="27">
        <v>9</v>
      </c>
      <c r="E43" s="27">
        <v>8</v>
      </c>
      <c r="F43" s="27">
        <v>7</v>
      </c>
      <c r="G43" s="27">
        <v>6</v>
      </c>
      <c r="H43" s="27">
        <v>5</v>
      </c>
      <c r="I43" s="27">
        <v>5</v>
      </c>
      <c r="J43" s="27">
        <v>4</v>
      </c>
      <c r="K43" s="27">
        <v>4</v>
      </c>
      <c r="L43" s="27">
        <v>3</v>
      </c>
      <c r="M43" s="27">
        <v>3</v>
      </c>
      <c r="N43" s="27">
        <v>2</v>
      </c>
      <c r="O43" s="27">
        <v>2</v>
      </c>
      <c r="P43" s="27">
        <v>2</v>
      </c>
      <c r="Q43" s="27">
        <v>2</v>
      </c>
      <c r="R43" s="27">
        <v>1</v>
      </c>
      <c r="S43" s="27">
        <v>1</v>
      </c>
      <c r="T43" s="27">
        <v>1</v>
      </c>
      <c r="U43" s="27">
        <v>1</v>
      </c>
      <c r="V43" s="27">
        <v>1</v>
      </c>
      <c r="W43" s="27">
        <v>1</v>
      </c>
      <c r="X43" s="27">
        <v>1</v>
      </c>
      <c r="AP43" s="28">
        <f t="shared" si="2"/>
        <v>90</v>
      </c>
    </row>
    <row r="44" spans="1:42" x14ac:dyDescent="0.2">
      <c r="A44" s="27">
        <v>46</v>
      </c>
      <c r="B44" s="28">
        <v>11</v>
      </c>
      <c r="C44" s="28">
        <v>10</v>
      </c>
      <c r="D44" s="27">
        <v>9</v>
      </c>
      <c r="E44" s="27">
        <v>8</v>
      </c>
      <c r="F44" s="27">
        <v>7</v>
      </c>
      <c r="G44" s="27">
        <v>6</v>
      </c>
      <c r="H44" s="27">
        <v>5</v>
      </c>
      <c r="I44" s="27">
        <v>5</v>
      </c>
      <c r="J44" s="27">
        <v>4</v>
      </c>
      <c r="K44" s="27">
        <v>4</v>
      </c>
      <c r="L44" s="27">
        <v>3</v>
      </c>
      <c r="M44" s="27">
        <v>3</v>
      </c>
      <c r="N44" s="27">
        <v>3</v>
      </c>
      <c r="O44" s="27">
        <v>2</v>
      </c>
      <c r="P44" s="27">
        <v>2</v>
      </c>
      <c r="Q44" s="27">
        <v>2</v>
      </c>
      <c r="R44" s="27">
        <v>2</v>
      </c>
      <c r="S44" s="27">
        <v>1</v>
      </c>
      <c r="T44" s="27">
        <v>1</v>
      </c>
      <c r="U44" s="27">
        <v>1</v>
      </c>
      <c r="V44" s="27">
        <v>1</v>
      </c>
      <c r="W44" s="27">
        <v>1</v>
      </c>
      <c r="X44" s="27">
        <v>1</v>
      </c>
      <c r="AP44" s="28">
        <f t="shared" si="2"/>
        <v>92</v>
      </c>
    </row>
    <row r="45" spans="1:42" x14ac:dyDescent="0.2">
      <c r="A45" s="28">
        <v>47</v>
      </c>
      <c r="B45" s="28">
        <v>11</v>
      </c>
      <c r="C45" s="28">
        <v>10</v>
      </c>
      <c r="D45" s="27">
        <v>9</v>
      </c>
      <c r="E45" s="27">
        <v>8</v>
      </c>
      <c r="F45" s="27">
        <v>7</v>
      </c>
      <c r="G45" s="27">
        <v>6</v>
      </c>
      <c r="H45" s="27">
        <v>5</v>
      </c>
      <c r="I45" s="27">
        <v>5</v>
      </c>
      <c r="J45" s="27">
        <v>4</v>
      </c>
      <c r="K45" s="27">
        <v>4</v>
      </c>
      <c r="L45" s="27">
        <v>3</v>
      </c>
      <c r="M45" s="27">
        <v>3</v>
      </c>
      <c r="N45" s="27">
        <v>3</v>
      </c>
      <c r="O45" s="27">
        <v>3</v>
      </c>
      <c r="P45" s="27">
        <v>2</v>
      </c>
      <c r="Q45" s="27">
        <v>2</v>
      </c>
      <c r="R45" s="27">
        <v>2</v>
      </c>
      <c r="S45" s="27">
        <v>1</v>
      </c>
      <c r="T45" s="27">
        <v>1</v>
      </c>
      <c r="U45" s="27">
        <v>1</v>
      </c>
      <c r="V45" s="27">
        <v>1</v>
      </c>
      <c r="W45" s="27">
        <v>1</v>
      </c>
      <c r="X45" s="27">
        <v>1</v>
      </c>
      <c r="Y45" s="27">
        <v>1</v>
      </c>
      <c r="AP45" s="28">
        <f t="shared" si="2"/>
        <v>94</v>
      </c>
    </row>
    <row r="46" spans="1:42" x14ac:dyDescent="0.2">
      <c r="A46" s="27">
        <v>48</v>
      </c>
      <c r="B46" s="28">
        <v>11</v>
      </c>
      <c r="C46" s="28">
        <v>10</v>
      </c>
      <c r="D46" s="27">
        <v>9</v>
      </c>
      <c r="E46" s="27">
        <v>8</v>
      </c>
      <c r="F46" s="27">
        <v>7</v>
      </c>
      <c r="G46" s="27">
        <v>6</v>
      </c>
      <c r="H46" s="27">
        <v>5</v>
      </c>
      <c r="I46" s="27">
        <v>5</v>
      </c>
      <c r="J46" s="27">
        <v>4</v>
      </c>
      <c r="K46" s="27">
        <v>4</v>
      </c>
      <c r="L46" s="27">
        <v>4</v>
      </c>
      <c r="M46" s="27">
        <v>3</v>
      </c>
      <c r="N46" s="27">
        <v>3</v>
      </c>
      <c r="O46" s="27">
        <v>3</v>
      </c>
      <c r="P46" s="27">
        <v>2</v>
      </c>
      <c r="Q46" s="27">
        <v>2</v>
      </c>
      <c r="R46" s="27">
        <v>2</v>
      </c>
      <c r="S46" s="27">
        <v>2</v>
      </c>
      <c r="T46" s="27">
        <v>1</v>
      </c>
      <c r="U46" s="27">
        <v>1</v>
      </c>
      <c r="V46" s="27">
        <v>1</v>
      </c>
      <c r="W46" s="27">
        <v>1</v>
      </c>
      <c r="X46" s="27">
        <v>1</v>
      </c>
      <c r="Y46" s="27">
        <v>1</v>
      </c>
      <c r="AP46" s="28">
        <f t="shared" si="2"/>
        <v>96</v>
      </c>
    </row>
    <row r="47" spans="1:42" x14ac:dyDescent="0.2">
      <c r="A47" s="28">
        <v>49</v>
      </c>
      <c r="B47" s="28">
        <v>11</v>
      </c>
      <c r="C47" s="28">
        <v>10</v>
      </c>
      <c r="D47" s="27">
        <v>9</v>
      </c>
      <c r="E47" s="27">
        <v>8</v>
      </c>
      <c r="F47" s="27">
        <v>7</v>
      </c>
      <c r="G47" s="27">
        <v>6</v>
      </c>
      <c r="H47" s="27">
        <v>5</v>
      </c>
      <c r="I47" s="27">
        <v>5</v>
      </c>
      <c r="J47" s="27">
        <v>4</v>
      </c>
      <c r="K47" s="27">
        <v>4</v>
      </c>
      <c r="L47" s="27">
        <v>4</v>
      </c>
      <c r="M47" s="27">
        <v>3</v>
      </c>
      <c r="N47" s="27">
        <v>3</v>
      </c>
      <c r="O47" s="27">
        <v>3</v>
      </c>
      <c r="P47" s="27">
        <v>3</v>
      </c>
      <c r="Q47" s="27">
        <v>2</v>
      </c>
      <c r="R47" s="27">
        <v>2</v>
      </c>
      <c r="S47" s="27">
        <v>2</v>
      </c>
      <c r="T47" s="27">
        <v>1</v>
      </c>
      <c r="U47" s="27">
        <v>1</v>
      </c>
      <c r="V47" s="27">
        <v>1</v>
      </c>
      <c r="W47" s="27">
        <v>1</v>
      </c>
      <c r="X47" s="27">
        <v>1</v>
      </c>
      <c r="Y47" s="27">
        <v>1</v>
      </c>
      <c r="Z47" s="27">
        <v>1</v>
      </c>
      <c r="AP47" s="28">
        <f t="shared" si="2"/>
        <v>98</v>
      </c>
    </row>
    <row r="48" spans="1:42" x14ac:dyDescent="0.2">
      <c r="A48" s="27">
        <v>50</v>
      </c>
      <c r="B48" s="28">
        <v>11</v>
      </c>
      <c r="C48" s="28">
        <v>10</v>
      </c>
      <c r="D48" s="27">
        <v>9</v>
      </c>
      <c r="E48" s="27">
        <v>8</v>
      </c>
      <c r="F48" s="27">
        <v>7</v>
      </c>
      <c r="G48" s="27">
        <v>6</v>
      </c>
      <c r="H48" s="27">
        <v>5</v>
      </c>
      <c r="I48" s="27">
        <v>5</v>
      </c>
      <c r="J48" s="27">
        <v>5</v>
      </c>
      <c r="K48" s="27">
        <v>4</v>
      </c>
      <c r="L48" s="27">
        <v>4</v>
      </c>
      <c r="M48" s="27">
        <v>3</v>
      </c>
      <c r="N48" s="27">
        <v>3</v>
      </c>
      <c r="O48" s="27">
        <v>3</v>
      </c>
      <c r="P48" s="27">
        <v>3</v>
      </c>
      <c r="Q48" s="27">
        <v>2</v>
      </c>
      <c r="R48" s="27">
        <v>2</v>
      </c>
      <c r="S48" s="27">
        <v>2</v>
      </c>
      <c r="T48" s="27">
        <v>2</v>
      </c>
      <c r="U48" s="27">
        <v>1</v>
      </c>
      <c r="V48" s="27">
        <v>1</v>
      </c>
      <c r="W48" s="27">
        <v>1</v>
      </c>
      <c r="X48" s="27">
        <v>1</v>
      </c>
      <c r="Y48" s="27">
        <v>1</v>
      </c>
      <c r="Z48" s="27">
        <v>1</v>
      </c>
      <c r="AP48" s="28">
        <f t="shared" si="2"/>
        <v>100</v>
      </c>
    </row>
    <row r="49" spans="1:42" x14ac:dyDescent="0.2">
      <c r="A49" s="28">
        <v>51</v>
      </c>
      <c r="B49" s="28">
        <v>11</v>
      </c>
      <c r="C49" s="28">
        <v>10</v>
      </c>
      <c r="D49" s="27">
        <v>9</v>
      </c>
      <c r="E49" s="27">
        <v>8</v>
      </c>
      <c r="F49" s="27">
        <v>7</v>
      </c>
      <c r="G49" s="27">
        <v>6</v>
      </c>
      <c r="H49" s="27">
        <v>6</v>
      </c>
      <c r="I49" s="27">
        <v>5</v>
      </c>
      <c r="J49" s="27">
        <v>5</v>
      </c>
      <c r="K49" s="27">
        <v>4</v>
      </c>
      <c r="L49" s="27">
        <v>4</v>
      </c>
      <c r="M49" s="27">
        <v>3</v>
      </c>
      <c r="N49" s="27">
        <v>3</v>
      </c>
      <c r="O49" s="27">
        <v>3</v>
      </c>
      <c r="P49" s="27">
        <v>3</v>
      </c>
      <c r="Q49" s="27">
        <v>2</v>
      </c>
      <c r="R49" s="27">
        <v>2</v>
      </c>
      <c r="S49" s="27">
        <v>2</v>
      </c>
      <c r="T49" s="27">
        <v>2</v>
      </c>
      <c r="U49" s="27">
        <v>1</v>
      </c>
      <c r="V49" s="27">
        <v>1</v>
      </c>
      <c r="W49" s="27">
        <v>1</v>
      </c>
      <c r="X49" s="27">
        <v>1</v>
      </c>
      <c r="Y49" s="27">
        <v>1</v>
      </c>
      <c r="Z49" s="27">
        <v>1</v>
      </c>
      <c r="AA49" s="27">
        <v>1</v>
      </c>
      <c r="AP49" s="28">
        <f t="shared" si="2"/>
        <v>102</v>
      </c>
    </row>
    <row r="50" spans="1:42" x14ac:dyDescent="0.2">
      <c r="A50" s="27">
        <v>52</v>
      </c>
      <c r="B50" s="28">
        <v>11</v>
      </c>
      <c r="C50" s="28">
        <v>10</v>
      </c>
      <c r="D50" s="27">
        <v>9</v>
      </c>
      <c r="E50" s="27">
        <v>8</v>
      </c>
      <c r="F50" s="27">
        <v>7</v>
      </c>
      <c r="G50" s="27">
        <v>6</v>
      </c>
      <c r="H50" s="27">
        <v>6</v>
      </c>
      <c r="I50" s="27">
        <v>5</v>
      </c>
      <c r="J50" s="27">
        <v>5</v>
      </c>
      <c r="K50" s="27">
        <v>4</v>
      </c>
      <c r="L50" s="27">
        <v>4</v>
      </c>
      <c r="M50" s="27">
        <v>4</v>
      </c>
      <c r="N50" s="27">
        <v>3</v>
      </c>
      <c r="O50" s="27">
        <v>3</v>
      </c>
      <c r="P50" s="27">
        <v>3</v>
      </c>
      <c r="Q50" s="27">
        <v>2</v>
      </c>
      <c r="R50" s="27">
        <v>2</v>
      </c>
      <c r="S50" s="27">
        <v>2</v>
      </c>
      <c r="T50" s="27">
        <v>2</v>
      </c>
      <c r="U50" s="27">
        <v>2</v>
      </c>
      <c r="V50" s="27">
        <v>1</v>
      </c>
      <c r="W50" s="27">
        <v>1</v>
      </c>
      <c r="X50" s="27">
        <v>1</v>
      </c>
      <c r="Y50" s="27">
        <v>1</v>
      </c>
      <c r="Z50" s="27">
        <v>1</v>
      </c>
      <c r="AA50" s="27">
        <v>1</v>
      </c>
      <c r="AP50" s="28">
        <f t="shared" si="2"/>
        <v>104</v>
      </c>
    </row>
    <row r="51" spans="1:42" x14ac:dyDescent="0.2">
      <c r="A51" s="28">
        <v>53</v>
      </c>
      <c r="B51" s="28">
        <v>11</v>
      </c>
      <c r="C51" s="28">
        <v>10</v>
      </c>
      <c r="D51" s="27">
        <v>9</v>
      </c>
      <c r="E51" s="27">
        <v>8</v>
      </c>
      <c r="F51" s="27">
        <v>7</v>
      </c>
      <c r="G51" s="27">
        <v>7</v>
      </c>
      <c r="H51" s="27">
        <v>6</v>
      </c>
      <c r="I51" s="27">
        <v>5</v>
      </c>
      <c r="J51" s="27">
        <v>5</v>
      </c>
      <c r="K51" s="27">
        <v>4</v>
      </c>
      <c r="L51" s="27">
        <v>4</v>
      </c>
      <c r="M51" s="27">
        <v>4</v>
      </c>
      <c r="N51" s="27">
        <v>3</v>
      </c>
      <c r="O51" s="27">
        <v>3</v>
      </c>
      <c r="P51" s="27">
        <v>3</v>
      </c>
      <c r="Q51" s="27">
        <v>2</v>
      </c>
      <c r="R51" s="27">
        <v>2</v>
      </c>
      <c r="S51" s="27">
        <v>2</v>
      </c>
      <c r="T51" s="27">
        <v>2</v>
      </c>
      <c r="U51" s="27">
        <v>2</v>
      </c>
      <c r="V51" s="27">
        <v>1</v>
      </c>
      <c r="W51" s="27">
        <v>1</v>
      </c>
      <c r="X51" s="27">
        <v>1</v>
      </c>
      <c r="Y51" s="27">
        <v>1</v>
      </c>
      <c r="Z51" s="27">
        <v>1</v>
      </c>
      <c r="AA51" s="27">
        <v>1</v>
      </c>
      <c r="AB51" s="27">
        <v>1</v>
      </c>
      <c r="AP51" s="28">
        <f t="shared" si="2"/>
        <v>106</v>
      </c>
    </row>
    <row r="52" spans="1:42" x14ac:dyDescent="0.2">
      <c r="A52" s="27">
        <v>54</v>
      </c>
      <c r="B52" s="28">
        <v>11</v>
      </c>
      <c r="C52" s="28">
        <v>10</v>
      </c>
      <c r="D52" s="27">
        <v>9</v>
      </c>
      <c r="E52" s="27">
        <v>8</v>
      </c>
      <c r="F52" s="27">
        <v>7</v>
      </c>
      <c r="G52" s="27">
        <v>7</v>
      </c>
      <c r="H52" s="27">
        <v>6</v>
      </c>
      <c r="I52" s="27">
        <v>5</v>
      </c>
      <c r="J52" s="27">
        <v>5</v>
      </c>
      <c r="K52" s="27">
        <v>4</v>
      </c>
      <c r="L52" s="27">
        <v>4</v>
      </c>
      <c r="M52" s="27">
        <v>4</v>
      </c>
      <c r="N52" s="27">
        <v>3</v>
      </c>
      <c r="O52" s="27">
        <v>3</v>
      </c>
      <c r="P52" s="27">
        <v>3</v>
      </c>
      <c r="Q52" s="27">
        <v>3</v>
      </c>
      <c r="R52" s="27">
        <v>2</v>
      </c>
      <c r="S52" s="27">
        <v>2</v>
      </c>
      <c r="T52" s="27">
        <v>2</v>
      </c>
      <c r="U52" s="27">
        <v>2</v>
      </c>
      <c r="V52" s="27">
        <v>2</v>
      </c>
      <c r="W52" s="27">
        <v>1</v>
      </c>
      <c r="X52" s="27">
        <v>1</v>
      </c>
      <c r="Y52" s="27">
        <v>1</v>
      </c>
      <c r="Z52" s="27">
        <v>1</v>
      </c>
      <c r="AA52" s="27">
        <v>1</v>
      </c>
      <c r="AB52" s="27">
        <v>1</v>
      </c>
      <c r="AP52" s="28">
        <f t="shared" si="2"/>
        <v>108</v>
      </c>
    </row>
    <row r="53" spans="1:42" x14ac:dyDescent="0.2">
      <c r="A53" s="28">
        <v>55</v>
      </c>
      <c r="B53" s="28">
        <v>11</v>
      </c>
      <c r="C53" s="28">
        <v>10</v>
      </c>
      <c r="D53" s="27">
        <v>9</v>
      </c>
      <c r="E53" s="27">
        <v>8</v>
      </c>
      <c r="F53" s="27">
        <v>8</v>
      </c>
      <c r="G53" s="27">
        <v>7</v>
      </c>
      <c r="H53" s="27">
        <v>6</v>
      </c>
      <c r="I53" s="27">
        <v>5</v>
      </c>
      <c r="J53" s="27">
        <v>5</v>
      </c>
      <c r="K53" s="27">
        <v>4</v>
      </c>
      <c r="L53" s="27">
        <v>4</v>
      </c>
      <c r="M53" s="27">
        <v>4</v>
      </c>
      <c r="N53" s="27">
        <v>3</v>
      </c>
      <c r="O53" s="27">
        <v>3</v>
      </c>
      <c r="P53" s="27">
        <v>3</v>
      </c>
      <c r="Q53" s="27">
        <v>3</v>
      </c>
      <c r="R53" s="27">
        <v>2</v>
      </c>
      <c r="S53" s="27">
        <v>2</v>
      </c>
      <c r="T53" s="27">
        <v>2</v>
      </c>
      <c r="U53" s="27">
        <v>2</v>
      </c>
      <c r="V53" s="27">
        <v>2</v>
      </c>
      <c r="W53" s="27">
        <v>1</v>
      </c>
      <c r="X53" s="27">
        <v>1</v>
      </c>
      <c r="Y53" s="27">
        <v>1</v>
      </c>
      <c r="Z53" s="27">
        <v>1</v>
      </c>
      <c r="AA53" s="27">
        <v>1</v>
      </c>
      <c r="AB53" s="27">
        <v>1</v>
      </c>
      <c r="AC53" s="27">
        <v>1</v>
      </c>
      <c r="AP53" s="28">
        <f t="shared" si="2"/>
        <v>110</v>
      </c>
    </row>
    <row r="54" spans="1:42" x14ac:dyDescent="0.2">
      <c r="A54" s="27">
        <v>56</v>
      </c>
      <c r="B54" s="28">
        <v>11</v>
      </c>
      <c r="C54" s="28">
        <v>10</v>
      </c>
      <c r="D54" s="27">
        <v>9</v>
      </c>
      <c r="E54" s="27">
        <v>8</v>
      </c>
      <c r="F54" s="27">
        <v>8</v>
      </c>
      <c r="G54" s="27">
        <v>7</v>
      </c>
      <c r="H54" s="27">
        <v>6</v>
      </c>
      <c r="I54" s="27">
        <v>5</v>
      </c>
      <c r="J54" s="27">
        <v>5</v>
      </c>
      <c r="K54" s="27">
        <v>4</v>
      </c>
      <c r="L54" s="27">
        <v>4</v>
      </c>
      <c r="M54" s="27">
        <v>4</v>
      </c>
      <c r="N54" s="27">
        <v>4</v>
      </c>
      <c r="O54" s="27">
        <v>3</v>
      </c>
      <c r="P54" s="27">
        <v>3</v>
      </c>
      <c r="Q54" s="27">
        <v>3</v>
      </c>
      <c r="R54" s="27">
        <v>2</v>
      </c>
      <c r="S54" s="27">
        <v>2</v>
      </c>
      <c r="T54" s="27">
        <v>2</v>
      </c>
      <c r="U54" s="27">
        <v>2</v>
      </c>
      <c r="V54" s="27">
        <v>2</v>
      </c>
      <c r="W54" s="27">
        <v>2</v>
      </c>
      <c r="X54" s="27">
        <v>1</v>
      </c>
      <c r="Y54" s="27">
        <v>1</v>
      </c>
      <c r="Z54" s="27">
        <v>1</v>
      </c>
      <c r="AA54" s="27">
        <v>1</v>
      </c>
      <c r="AB54" s="27">
        <v>1</v>
      </c>
      <c r="AC54" s="27">
        <v>1</v>
      </c>
      <c r="AP54" s="28">
        <f t="shared" si="2"/>
        <v>112</v>
      </c>
    </row>
    <row r="55" spans="1:42" x14ac:dyDescent="0.2">
      <c r="A55" s="28">
        <v>57</v>
      </c>
      <c r="B55" s="28">
        <v>11</v>
      </c>
      <c r="C55" s="28">
        <v>10</v>
      </c>
      <c r="D55" s="27">
        <v>9</v>
      </c>
      <c r="E55" s="27">
        <v>8</v>
      </c>
      <c r="F55" s="27">
        <v>8</v>
      </c>
      <c r="G55" s="27">
        <v>7</v>
      </c>
      <c r="H55" s="27">
        <v>6</v>
      </c>
      <c r="I55" s="27">
        <v>5</v>
      </c>
      <c r="J55" s="27">
        <v>5</v>
      </c>
      <c r="K55" s="27">
        <v>5</v>
      </c>
      <c r="L55" s="27">
        <v>4</v>
      </c>
      <c r="M55" s="27">
        <v>4</v>
      </c>
      <c r="N55" s="27">
        <v>4</v>
      </c>
      <c r="O55" s="27">
        <v>3</v>
      </c>
      <c r="P55" s="27">
        <v>3</v>
      </c>
      <c r="Q55" s="27">
        <v>3</v>
      </c>
      <c r="R55" s="27">
        <v>2</v>
      </c>
      <c r="S55" s="27">
        <v>2</v>
      </c>
      <c r="T55" s="27">
        <v>2</v>
      </c>
      <c r="U55" s="27">
        <v>2</v>
      </c>
      <c r="V55" s="27">
        <v>2</v>
      </c>
      <c r="W55" s="27">
        <v>2</v>
      </c>
      <c r="X55" s="27">
        <v>1</v>
      </c>
      <c r="Y55" s="27">
        <v>1</v>
      </c>
      <c r="Z55" s="27">
        <v>1</v>
      </c>
      <c r="AA55" s="27">
        <v>1</v>
      </c>
      <c r="AB55" s="27">
        <v>1</v>
      </c>
      <c r="AC55" s="27">
        <v>1</v>
      </c>
      <c r="AD55" s="27">
        <v>1</v>
      </c>
      <c r="AP55" s="28">
        <f t="shared" si="2"/>
        <v>114</v>
      </c>
    </row>
    <row r="56" spans="1:42" x14ac:dyDescent="0.2">
      <c r="A56" s="27">
        <v>58</v>
      </c>
      <c r="B56" s="28">
        <v>11</v>
      </c>
      <c r="C56" s="28">
        <v>10</v>
      </c>
      <c r="D56" s="27">
        <v>9</v>
      </c>
      <c r="E56" s="27">
        <v>8</v>
      </c>
      <c r="F56" s="27">
        <v>8</v>
      </c>
      <c r="G56" s="27">
        <v>7</v>
      </c>
      <c r="H56" s="27">
        <v>6</v>
      </c>
      <c r="I56" s="27">
        <v>6</v>
      </c>
      <c r="J56" s="27">
        <v>5</v>
      </c>
      <c r="K56" s="27">
        <v>5</v>
      </c>
      <c r="L56" s="27">
        <v>4</v>
      </c>
      <c r="M56" s="27">
        <v>4</v>
      </c>
      <c r="N56" s="27">
        <v>4</v>
      </c>
      <c r="O56" s="27">
        <v>4</v>
      </c>
      <c r="P56" s="27">
        <v>3</v>
      </c>
      <c r="Q56" s="27">
        <v>3</v>
      </c>
      <c r="R56" s="27">
        <v>2</v>
      </c>
      <c r="S56" s="27">
        <v>2</v>
      </c>
      <c r="T56" s="27">
        <v>2</v>
      </c>
      <c r="U56" s="27">
        <v>2</v>
      </c>
      <c r="V56" s="27">
        <v>2</v>
      </c>
      <c r="W56" s="27">
        <v>2</v>
      </c>
      <c r="X56" s="27">
        <v>1</v>
      </c>
      <c r="Y56" s="27">
        <v>1</v>
      </c>
      <c r="Z56" s="27">
        <v>1</v>
      </c>
      <c r="AA56" s="27">
        <v>1</v>
      </c>
      <c r="AB56" s="27">
        <v>1</v>
      </c>
      <c r="AC56" s="27">
        <v>1</v>
      </c>
      <c r="AD56" s="27">
        <v>1</v>
      </c>
      <c r="AP56" s="28">
        <f t="shared" si="2"/>
        <v>116</v>
      </c>
    </row>
    <row r="57" spans="1:42" x14ac:dyDescent="0.2">
      <c r="A57" s="28">
        <v>59</v>
      </c>
      <c r="B57" s="28">
        <v>11</v>
      </c>
      <c r="C57" s="28">
        <v>10</v>
      </c>
      <c r="D57" s="27">
        <v>9</v>
      </c>
      <c r="E57" s="27">
        <v>8</v>
      </c>
      <c r="F57" s="27">
        <v>8</v>
      </c>
      <c r="G57" s="27">
        <v>7</v>
      </c>
      <c r="H57" s="27">
        <v>6</v>
      </c>
      <c r="I57" s="27">
        <v>6</v>
      </c>
      <c r="J57" s="27">
        <v>5</v>
      </c>
      <c r="K57" s="27">
        <v>5</v>
      </c>
      <c r="L57" s="27">
        <v>4</v>
      </c>
      <c r="M57" s="27">
        <v>4</v>
      </c>
      <c r="N57" s="27">
        <v>4</v>
      </c>
      <c r="O57" s="27">
        <v>4</v>
      </c>
      <c r="P57" s="27">
        <v>3</v>
      </c>
      <c r="Q57" s="27">
        <v>3</v>
      </c>
      <c r="R57" s="27">
        <v>2</v>
      </c>
      <c r="S57" s="27">
        <v>2</v>
      </c>
      <c r="T57" s="27">
        <v>2</v>
      </c>
      <c r="U57" s="27">
        <v>2</v>
      </c>
      <c r="V57" s="27">
        <v>2</v>
      </c>
      <c r="W57" s="27">
        <v>2</v>
      </c>
      <c r="X57" s="27">
        <v>2</v>
      </c>
      <c r="Y57" s="27">
        <v>1</v>
      </c>
      <c r="Z57" s="27">
        <v>1</v>
      </c>
      <c r="AA57" s="27">
        <v>1</v>
      </c>
      <c r="AB57" s="27">
        <v>1</v>
      </c>
      <c r="AC57" s="27">
        <v>1</v>
      </c>
      <c r="AD57" s="27">
        <v>1</v>
      </c>
      <c r="AE57" s="27">
        <v>1</v>
      </c>
      <c r="AP57" s="28">
        <f t="shared" si="2"/>
        <v>118</v>
      </c>
    </row>
    <row r="58" spans="1:42" x14ac:dyDescent="0.2">
      <c r="A58" s="27">
        <v>60</v>
      </c>
      <c r="B58" s="28">
        <v>11</v>
      </c>
      <c r="C58" s="28">
        <v>10</v>
      </c>
      <c r="D58" s="27">
        <v>9</v>
      </c>
      <c r="E58" s="27">
        <v>8</v>
      </c>
      <c r="F58" s="27">
        <v>8</v>
      </c>
      <c r="G58" s="27">
        <v>7</v>
      </c>
      <c r="H58" s="27">
        <v>6</v>
      </c>
      <c r="I58" s="27">
        <v>6</v>
      </c>
      <c r="J58" s="27">
        <v>5</v>
      </c>
      <c r="K58" s="27">
        <v>5</v>
      </c>
      <c r="L58" s="27">
        <v>4</v>
      </c>
      <c r="M58" s="27">
        <v>4</v>
      </c>
      <c r="N58" s="27">
        <v>4</v>
      </c>
      <c r="O58" s="27">
        <v>4</v>
      </c>
      <c r="P58" s="27">
        <v>3</v>
      </c>
      <c r="Q58" s="27">
        <v>3</v>
      </c>
      <c r="R58" s="27">
        <v>3</v>
      </c>
      <c r="S58" s="27">
        <v>3</v>
      </c>
      <c r="T58" s="27">
        <v>2</v>
      </c>
      <c r="U58" s="27">
        <v>2</v>
      </c>
      <c r="V58" s="27">
        <v>2</v>
      </c>
      <c r="W58" s="27">
        <v>2</v>
      </c>
      <c r="X58" s="27">
        <v>2</v>
      </c>
      <c r="Y58" s="27">
        <v>1</v>
      </c>
      <c r="Z58" s="27">
        <v>1</v>
      </c>
      <c r="AA58" s="27">
        <v>1</v>
      </c>
      <c r="AB58" s="27">
        <v>1</v>
      </c>
      <c r="AC58" s="27">
        <v>1</v>
      </c>
      <c r="AD58" s="27">
        <v>1</v>
      </c>
      <c r="AE58" s="27">
        <v>1</v>
      </c>
      <c r="AP58" s="28">
        <f t="shared" si="2"/>
        <v>120</v>
      </c>
    </row>
    <row r="59" spans="1:42" x14ac:dyDescent="0.2">
      <c r="A59" s="28">
        <v>61</v>
      </c>
      <c r="B59" s="28">
        <v>11</v>
      </c>
      <c r="C59" s="28">
        <v>10</v>
      </c>
      <c r="D59" s="27">
        <v>9</v>
      </c>
      <c r="E59" s="27">
        <v>8</v>
      </c>
      <c r="F59" s="27">
        <v>8</v>
      </c>
      <c r="G59" s="27">
        <v>7</v>
      </c>
      <c r="H59" s="27">
        <v>7</v>
      </c>
      <c r="I59" s="27">
        <v>6</v>
      </c>
      <c r="J59" s="27">
        <v>5</v>
      </c>
      <c r="K59" s="27">
        <v>5</v>
      </c>
      <c r="L59" s="27">
        <v>4</v>
      </c>
      <c r="M59" s="27">
        <v>4</v>
      </c>
      <c r="N59" s="27">
        <v>4</v>
      </c>
      <c r="O59" s="27">
        <v>4</v>
      </c>
      <c r="P59" s="27">
        <v>3</v>
      </c>
      <c r="Q59" s="27">
        <v>3</v>
      </c>
      <c r="R59" s="27">
        <v>3</v>
      </c>
      <c r="S59" s="27">
        <v>3</v>
      </c>
      <c r="T59" s="27">
        <v>2</v>
      </c>
      <c r="U59" s="27">
        <v>2</v>
      </c>
      <c r="V59" s="27">
        <v>2</v>
      </c>
      <c r="W59" s="27">
        <v>2</v>
      </c>
      <c r="X59" s="27">
        <v>2</v>
      </c>
      <c r="Y59" s="27">
        <v>1</v>
      </c>
      <c r="Z59" s="27">
        <v>1</v>
      </c>
      <c r="AA59" s="27">
        <v>1</v>
      </c>
      <c r="AB59" s="27">
        <v>1</v>
      </c>
      <c r="AC59" s="27">
        <v>1</v>
      </c>
      <c r="AD59" s="27">
        <v>1</v>
      </c>
      <c r="AE59" s="27">
        <v>1</v>
      </c>
      <c r="AF59" s="27">
        <v>1</v>
      </c>
      <c r="AP59" s="28">
        <f t="shared" si="2"/>
        <v>122</v>
      </c>
    </row>
    <row r="60" spans="1:42" x14ac:dyDescent="0.2">
      <c r="A60" s="27">
        <v>62</v>
      </c>
      <c r="B60" s="28">
        <v>11</v>
      </c>
      <c r="C60" s="28">
        <v>10</v>
      </c>
      <c r="D60" s="27">
        <v>9</v>
      </c>
      <c r="E60" s="27">
        <v>8</v>
      </c>
      <c r="F60" s="27">
        <v>8</v>
      </c>
      <c r="G60" s="27">
        <v>7</v>
      </c>
      <c r="H60" s="27">
        <v>7</v>
      </c>
      <c r="I60" s="27">
        <v>6</v>
      </c>
      <c r="J60" s="27">
        <v>5</v>
      </c>
      <c r="K60" s="27">
        <v>5</v>
      </c>
      <c r="L60" s="27">
        <v>4</v>
      </c>
      <c r="M60" s="27">
        <v>4</v>
      </c>
      <c r="N60" s="27">
        <v>4</v>
      </c>
      <c r="O60" s="27">
        <v>4</v>
      </c>
      <c r="P60" s="27">
        <v>3</v>
      </c>
      <c r="Q60" s="27">
        <v>3</v>
      </c>
      <c r="R60" s="27">
        <v>3</v>
      </c>
      <c r="S60" s="27">
        <v>3</v>
      </c>
      <c r="T60" s="27">
        <v>2</v>
      </c>
      <c r="U60" s="27">
        <v>2</v>
      </c>
      <c r="V60" s="27">
        <v>2</v>
      </c>
      <c r="W60" s="27">
        <v>2</v>
      </c>
      <c r="X60" s="27">
        <v>2</v>
      </c>
      <c r="Y60" s="27">
        <v>2</v>
      </c>
      <c r="Z60" s="27">
        <v>2</v>
      </c>
      <c r="AA60" s="27">
        <v>1</v>
      </c>
      <c r="AB60" s="27">
        <v>1</v>
      </c>
      <c r="AC60" s="27">
        <v>1</v>
      </c>
      <c r="AD60" s="27">
        <v>1</v>
      </c>
      <c r="AE60" s="27">
        <v>1</v>
      </c>
      <c r="AF60" s="27">
        <v>1</v>
      </c>
      <c r="AP60" s="28">
        <f t="shared" si="2"/>
        <v>124</v>
      </c>
    </row>
    <row r="61" spans="1:42" x14ac:dyDescent="0.2">
      <c r="A61" s="28">
        <v>63</v>
      </c>
      <c r="B61" s="28">
        <v>11</v>
      </c>
      <c r="C61" s="28">
        <v>10</v>
      </c>
      <c r="D61" s="27">
        <v>9</v>
      </c>
      <c r="E61" s="27">
        <v>8</v>
      </c>
      <c r="F61" s="27">
        <v>8</v>
      </c>
      <c r="G61" s="27">
        <v>7</v>
      </c>
      <c r="H61" s="27">
        <v>7</v>
      </c>
      <c r="I61" s="27">
        <v>6</v>
      </c>
      <c r="J61" s="27">
        <v>5</v>
      </c>
      <c r="K61" s="27">
        <v>5</v>
      </c>
      <c r="L61" s="27">
        <v>5</v>
      </c>
      <c r="M61" s="27">
        <v>4</v>
      </c>
      <c r="N61" s="27">
        <v>4</v>
      </c>
      <c r="O61" s="27">
        <v>4</v>
      </c>
      <c r="P61" s="27">
        <v>3</v>
      </c>
      <c r="Q61" s="27">
        <v>3</v>
      </c>
      <c r="R61" s="27">
        <v>3</v>
      </c>
      <c r="S61" s="27">
        <v>3</v>
      </c>
      <c r="T61" s="27">
        <v>2</v>
      </c>
      <c r="U61" s="27">
        <v>2</v>
      </c>
      <c r="V61" s="27">
        <v>2</v>
      </c>
      <c r="W61" s="27">
        <v>2</v>
      </c>
      <c r="X61" s="27">
        <v>2</v>
      </c>
      <c r="Y61" s="27">
        <v>2</v>
      </c>
      <c r="Z61" s="27">
        <v>2</v>
      </c>
      <c r="AA61" s="27">
        <v>1</v>
      </c>
      <c r="AB61" s="27">
        <v>1</v>
      </c>
      <c r="AC61" s="27">
        <v>1</v>
      </c>
      <c r="AD61" s="27">
        <v>1</v>
      </c>
      <c r="AE61" s="27">
        <v>1</v>
      </c>
      <c r="AF61" s="27">
        <v>1</v>
      </c>
      <c r="AG61" s="27">
        <v>1</v>
      </c>
      <c r="AP61" s="28">
        <f t="shared" si="2"/>
        <v>126</v>
      </c>
    </row>
    <row r="62" spans="1:42" x14ac:dyDescent="0.2">
      <c r="A62" s="27">
        <v>64</v>
      </c>
      <c r="B62" s="28">
        <v>11</v>
      </c>
      <c r="C62" s="28">
        <v>10</v>
      </c>
      <c r="D62" s="27">
        <v>9</v>
      </c>
      <c r="E62" s="27">
        <v>8</v>
      </c>
      <c r="F62" s="27">
        <v>8</v>
      </c>
      <c r="G62" s="27">
        <v>7</v>
      </c>
      <c r="H62" s="27">
        <v>7</v>
      </c>
      <c r="I62" s="27">
        <v>6</v>
      </c>
      <c r="J62" s="27">
        <v>5</v>
      </c>
      <c r="K62" s="27">
        <v>5</v>
      </c>
      <c r="L62" s="27">
        <v>5</v>
      </c>
      <c r="M62" s="27">
        <v>4</v>
      </c>
      <c r="N62" s="27">
        <v>4</v>
      </c>
      <c r="O62" s="27">
        <v>4</v>
      </c>
      <c r="P62" s="27">
        <v>4</v>
      </c>
      <c r="Q62" s="27">
        <v>3</v>
      </c>
      <c r="R62" s="27">
        <v>3</v>
      </c>
      <c r="S62" s="27">
        <v>3</v>
      </c>
      <c r="T62" s="27">
        <v>3</v>
      </c>
      <c r="U62" s="27">
        <v>2</v>
      </c>
      <c r="V62" s="27">
        <v>2</v>
      </c>
      <c r="W62" s="27">
        <v>2</v>
      </c>
      <c r="X62" s="27">
        <v>2</v>
      </c>
      <c r="Y62" s="27">
        <v>2</v>
      </c>
      <c r="Z62" s="27">
        <v>2</v>
      </c>
      <c r="AA62" s="27">
        <v>1</v>
      </c>
      <c r="AB62" s="27">
        <v>1</v>
      </c>
      <c r="AC62" s="27">
        <v>1</v>
      </c>
      <c r="AD62" s="27">
        <v>1</v>
      </c>
      <c r="AE62" s="27">
        <v>1</v>
      </c>
      <c r="AF62" s="27">
        <v>1</v>
      </c>
      <c r="AG62" s="27">
        <v>1</v>
      </c>
      <c r="AP62" s="28">
        <f t="shared" si="2"/>
        <v>128</v>
      </c>
    </row>
    <row r="63" spans="1:42" x14ac:dyDescent="0.2">
      <c r="A63" s="28">
        <v>65</v>
      </c>
      <c r="B63" s="28">
        <v>11</v>
      </c>
      <c r="C63" s="28">
        <v>10</v>
      </c>
      <c r="D63" s="27">
        <v>9</v>
      </c>
      <c r="E63" s="27">
        <v>8</v>
      </c>
      <c r="F63" s="27">
        <v>8</v>
      </c>
      <c r="G63" s="27">
        <v>7</v>
      </c>
      <c r="H63" s="27">
        <v>7</v>
      </c>
      <c r="I63" s="27">
        <v>6</v>
      </c>
      <c r="J63" s="27">
        <v>6</v>
      </c>
      <c r="K63" s="27">
        <v>5</v>
      </c>
      <c r="L63" s="27">
        <v>5</v>
      </c>
      <c r="M63" s="27">
        <v>4</v>
      </c>
      <c r="N63" s="27">
        <v>4</v>
      </c>
      <c r="O63" s="27">
        <v>4</v>
      </c>
      <c r="P63" s="27">
        <v>4</v>
      </c>
      <c r="Q63" s="27">
        <v>3</v>
      </c>
      <c r="R63" s="27">
        <v>3</v>
      </c>
      <c r="S63" s="27">
        <v>3</v>
      </c>
      <c r="T63" s="27">
        <v>3</v>
      </c>
      <c r="U63" s="27">
        <v>2</v>
      </c>
      <c r="V63" s="27">
        <v>2</v>
      </c>
      <c r="W63" s="27">
        <v>2</v>
      </c>
      <c r="X63" s="27">
        <v>2</v>
      </c>
      <c r="Y63" s="27">
        <v>2</v>
      </c>
      <c r="Z63" s="27">
        <v>2</v>
      </c>
      <c r="AA63" s="27">
        <v>1</v>
      </c>
      <c r="AB63" s="27">
        <v>1</v>
      </c>
      <c r="AC63" s="27">
        <v>1</v>
      </c>
      <c r="AD63" s="27">
        <v>1</v>
      </c>
      <c r="AE63" s="27">
        <v>1</v>
      </c>
      <c r="AF63" s="27">
        <v>1</v>
      </c>
      <c r="AG63" s="27">
        <v>1</v>
      </c>
      <c r="AH63" s="27">
        <v>1</v>
      </c>
      <c r="AP63" s="28">
        <f t="shared" si="2"/>
        <v>130</v>
      </c>
    </row>
    <row r="64" spans="1:42" x14ac:dyDescent="0.2">
      <c r="A64" s="27">
        <v>66</v>
      </c>
      <c r="B64" s="28">
        <v>11</v>
      </c>
      <c r="C64" s="28">
        <v>10</v>
      </c>
      <c r="D64" s="27">
        <v>9</v>
      </c>
      <c r="E64" s="27">
        <v>8</v>
      </c>
      <c r="F64" s="27">
        <v>8</v>
      </c>
      <c r="G64" s="27">
        <v>7</v>
      </c>
      <c r="H64" s="27">
        <v>7</v>
      </c>
      <c r="I64" s="27">
        <v>6</v>
      </c>
      <c r="J64" s="27">
        <v>6</v>
      </c>
      <c r="K64" s="27">
        <v>5</v>
      </c>
      <c r="L64" s="27">
        <v>5</v>
      </c>
      <c r="M64" s="27">
        <v>4</v>
      </c>
      <c r="N64" s="27">
        <v>4</v>
      </c>
      <c r="O64" s="27">
        <v>4</v>
      </c>
      <c r="P64" s="27">
        <v>4</v>
      </c>
      <c r="Q64" s="27">
        <v>3</v>
      </c>
      <c r="R64" s="27">
        <v>3</v>
      </c>
      <c r="S64" s="27">
        <v>3</v>
      </c>
      <c r="T64" s="27">
        <v>3</v>
      </c>
      <c r="U64" s="27">
        <v>3</v>
      </c>
      <c r="V64" s="27">
        <v>2</v>
      </c>
      <c r="W64" s="27">
        <v>2</v>
      </c>
      <c r="X64" s="27">
        <v>2</v>
      </c>
      <c r="Y64" s="27">
        <v>2</v>
      </c>
      <c r="Z64" s="27">
        <v>2</v>
      </c>
      <c r="AA64" s="27">
        <v>2</v>
      </c>
      <c r="AB64" s="27">
        <v>1</v>
      </c>
      <c r="AC64" s="27">
        <v>1</v>
      </c>
      <c r="AD64" s="27">
        <v>1</v>
      </c>
      <c r="AE64" s="27">
        <v>1</v>
      </c>
      <c r="AF64" s="27">
        <v>1</v>
      </c>
      <c r="AG64" s="27">
        <v>1</v>
      </c>
      <c r="AH64" s="27">
        <v>1</v>
      </c>
      <c r="AP64" s="28">
        <f t="shared" si="2"/>
        <v>132</v>
      </c>
    </row>
    <row r="65" spans="1:42" x14ac:dyDescent="0.2">
      <c r="A65" s="28">
        <v>67</v>
      </c>
      <c r="B65" s="28">
        <v>11</v>
      </c>
      <c r="C65" s="28">
        <v>10</v>
      </c>
      <c r="D65" s="27">
        <v>9</v>
      </c>
      <c r="E65" s="27">
        <v>8</v>
      </c>
      <c r="F65" s="27">
        <v>8</v>
      </c>
      <c r="G65" s="27">
        <v>7</v>
      </c>
      <c r="H65" s="27">
        <v>7</v>
      </c>
      <c r="I65" s="27">
        <v>6</v>
      </c>
      <c r="J65" s="27">
        <v>6</v>
      </c>
      <c r="K65" s="27">
        <v>5</v>
      </c>
      <c r="L65" s="27">
        <v>5</v>
      </c>
      <c r="M65" s="27">
        <v>4</v>
      </c>
      <c r="N65" s="27">
        <v>4</v>
      </c>
      <c r="O65" s="27">
        <v>4</v>
      </c>
      <c r="P65" s="27">
        <v>4</v>
      </c>
      <c r="Q65" s="27">
        <v>3</v>
      </c>
      <c r="R65" s="27">
        <v>3</v>
      </c>
      <c r="S65" s="27">
        <v>3</v>
      </c>
      <c r="T65" s="27">
        <v>3</v>
      </c>
      <c r="U65" s="27">
        <v>3</v>
      </c>
      <c r="V65" s="27">
        <v>3</v>
      </c>
      <c r="W65" s="27">
        <v>2</v>
      </c>
      <c r="X65" s="27">
        <v>2</v>
      </c>
      <c r="Y65" s="27">
        <v>2</v>
      </c>
      <c r="Z65" s="27">
        <v>2</v>
      </c>
      <c r="AA65" s="27">
        <v>2</v>
      </c>
      <c r="AB65" s="27">
        <v>1</v>
      </c>
      <c r="AC65" s="27">
        <v>1</v>
      </c>
      <c r="AD65" s="27">
        <v>1</v>
      </c>
      <c r="AE65" s="27">
        <v>1</v>
      </c>
      <c r="AF65" s="27">
        <v>1</v>
      </c>
      <c r="AG65" s="27">
        <v>1</v>
      </c>
      <c r="AH65" s="27">
        <v>1</v>
      </c>
      <c r="AI65" s="27">
        <v>1</v>
      </c>
      <c r="AP65" s="28">
        <f t="shared" si="2"/>
        <v>134</v>
      </c>
    </row>
    <row r="66" spans="1:42" x14ac:dyDescent="0.2">
      <c r="A66" s="27">
        <v>68</v>
      </c>
      <c r="B66" s="28">
        <v>11</v>
      </c>
      <c r="C66" s="28">
        <v>10</v>
      </c>
      <c r="D66" s="27">
        <v>9</v>
      </c>
      <c r="E66" s="27">
        <v>8</v>
      </c>
      <c r="F66" s="27">
        <v>8</v>
      </c>
      <c r="G66" s="27">
        <v>7</v>
      </c>
      <c r="H66" s="27">
        <v>7</v>
      </c>
      <c r="I66" s="27">
        <v>6</v>
      </c>
      <c r="J66" s="27">
        <v>6</v>
      </c>
      <c r="K66" s="27">
        <v>5</v>
      </c>
      <c r="L66" s="27">
        <v>5</v>
      </c>
      <c r="M66" s="27">
        <v>4</v>
      </c>
      <c r="N66" s="27">
        <v>4</v>
      </c>
      <c r="O66" s="27">
        <v>4</v>
      </c>
      <c r="P66" s="27">
        <v>4</v>
      </c>
      <c r="Q66" s="27">
        <v>4</v>
      </c>
      <c r="R66" s="27">
        <v>4</v>
      </c>
      <c r="S66" s="27">
        <v>3</v>
      </c>
      <c r="T66" s="27">
        <v>3</v>
      </c>
      <c r="U66" s="27">
        <v>3</v>
      </c>
      <c r="V66" s="27">
        <v>3</v>
      </c>
      <c r="W66" s="27">
        <v>2</v>
      </c>
      <c r="X66" s="27">
        <v>2</v>
      </c>
      <c r="Y66" s="27">
        <v>2</v>
      </c>
      <c r="Z66" s="27">
        <v>2</v>
      </c>
      <c r="AA66" s="27">
        <v>2</v>
      </c>
      <c r="AB66" s="27">
        <v>1</v>
      </c>
      <c r="AC66" s="27">
        <v>1</v>
      </c>
      <c r="AD66" s="27">
        <v>1</v>
      </c>
      <c r="AE66" s="27">
        <v>1</v>
      </c>
      <c r="AF66" s="27">
        <v>1</v>
      </c>
      <c r="AG66" s="27">
        <v>1</v>
      </c>
      <c r="AH66" s="27">
        <v>1</v>
      </c>
      <c r="AI66" s="27">
        <v>1</v>
      </c>
      <c r="AP66" s="28">
        <f t="shared" si="2"/>
        <v>136</v>
      </c>
    </row>
    <row r="67" spans="1:42" x14ac:dyDescent="0.2">
      <c r="A67" s="28">
        <v>69</v>
      </c>
      <c r="B67" s="28">
        <v>11</v>
      </c>
      <c r="C67" s="28">
        <v>10</v>
      </c>
      <c r="D67" s="27">
        <v>9</v>
      </c>
      <c r="E67" s="27">
        <v>8</v>
      </c>
      <c r="F67" s="27">
        <v>8</v>
      </c>
      <c r="G67" s="27">
        <v>7</v>
      </c>
      <c r="H67" s="27">
        <v>7</v>
      </c>
      <c r="I67" s="27">
        <v>6</v>
      </c>
      <c r="J67" s="27">
        <v>6</v>
      </c>
      <c r="K67" s="27">
        <v>5</v>
      </c>
      <c r="L67" s="27">
        <v>5</v>
      </c>
      <c r="M67" s="27">
        <v>4</v>
      </c>
      <c r="N67" s="27">
        <v>4</v>
      </c>
      <c r="O67" s="27">
        <v>4</v>
      </c>
      <c r="P67" s="27">
        <v>4</v>
      </c>
      <c r="Q67" s="27">
        <v>4</v>
      </c>
      <c r="R67" s="27">
        <v>4</v>
      </c>
      <c r="S67" s="27">
        <v>3</v>
      </c>
      <c r="T67" s="27">
        <v>3</v>
      </c>
      <c r="U67" s="27">
        <v>3</v>
      </c>
      <c r="V67" s="27">
        <v>3</v>
      </c>
      <c r="W67" s="27">
        <v>2</v>
      </c>
      <c r="X67" s="27">
        <v>2</v>
      </c>
      <c r="Y67" s="27">
        <v>2</v>
      </c>
      <c r="Z67" s="27">
        <v>2</v>
      </c>
      <c r="AA67" s="27">
        <v>2</v>
      </c>
      <c r="AB67" s="27">
        <v>2</v>
      </c>
      <c r="AC67" s="27">
        <v>1</v>
      </c>
      <c r="AD67" s="27">
        <v>1</v>
      </c>
      <c r="AE67" s="27">
        <v>1</v>
      </c>
      <c r="AF67" s="27">
        <v>1</v>
      </c>
      <c r="AG67" s="27">
        <v>1</v>
      </c>
      <c r="AH67" s="27">
        <v>1</v>
      </c>
      <c r="AI67" s="27">
        <v>1</v>
      </c>
      <c r="AJ67" s="27">
        <v>1</v>
      </c>
      <c r="AP67" s="28">
        <f t="shared" si="2"/>
        <v>138</v>
      </c>
    </row>
    <row r="68" spans="1:42" x14ac:dyDescent="0.2">
      <c r="A68" s="27">
        <v>70</v>
      </c>
      <c r="B68" s="28">
        <v>11</v>
      </c>
      <c r="C68" s="28">
        <v>10</v>
      </c>
      <c r="D68" s="27">
        <v>9</v>
      </c>
      <c r="E68" s="27">
        <v>8</v>
      </c>
      <c r="F68" s="27">
        <v>8</v>
      </c>
      <c r="G68" s="27">
        <v>7</v>
      </c>
      <c r="H68" s="27">
        <v>7</v>
      </c>
      <c r="I68" s="27">
        <v>6</v>
      </c>
      <c r="J68" s="27">
        <v>6</v>
      </c>
      <c r="K68" s="27">
        <v>5</v>
      </c>
      <c r="L68" s="27">
        <v>5</v>
      </c>
      <c r="M68" s="27">
        <v>5</v>
      </c>
      <c r="N68" s="27">
        <v>4</v>
      </c>
      <c r="O68" s="27">
        <v>4</v>
      </c>
      <c r="P68" s="27">
        <v>4</v>
      </c>
      <c r="Q68" s="27">
        <v>4</v>
      </c>
      <c r="R68" s="27">
        <v>4</v>
      </c>
      <c r="S68" s="27">
        <v>3</v>
      </c>
      <c r="T68" s="27">
        <v>3</v>
      </c>
      <c r="U68" s="27">
        <v>3</v>
      </c>
      <c r="V68" s="27">
        <v>3</v>
      </c>
      <c r="W68" s="27">
        <v>3</v>
      </c>
      <c r="X68" s="27">
        <v>2</v>
      </c>
      <c r="Y68" s="27">
        <v>2</v>
      </c>
      <c r="Z68" s="27">
        <v>2</v>
      </c>
      <c r="AA68" s="27">
        <v>2</v>
      </c>
      <c r="AB68" s="27">
        <v>2</v>
      </c>
      <c r="AC68" s="27">
        <v>1</v>
      </c>
      <c r="AD68" s="27">
        <v>1</v>
      </c>
      <c r="AE68" s="27">
        <v>1</v>
      </c>
      <c r="AF68" s="27">
        <v>1</v>
      </c>
      <c r="AG68" s="27">
        <v>1</v>
      </c>
      <c r="AH68" s="27">
        <v>1</v>
      </c>
      <c r="AI68" s="27">
        <v>1</v>
      </c>
      <c r="AJ68" s="27">
        <v>1</v>
      </c>
      <c r="AP68" s="28">
        <f t="shared" si="2"/>
        <v>140</v>
      </c>
    </row>
    <row r="69" spans="1:42" x14ac:dyDescent="0.2">
      <c r="A69" s="28">
        <v>71</v>
      </c>
      <c r="B69" s="28">
        <v>11</v>
      </c>
      <c r="C69" s="28">
        <v>10</v>
      </c>
      <c r="D69" s="27">
        <v>9</v>
      </c>
      <c r="E69" s="27">
        <v>8</v>
      </c>
      <c r="F69" s="27">
        <v>8</v>
      </c>
      <c r="G69" s="27">
        <v>7</v>
      </c>
      <c r="H69" s="27">
        <v>7</v>
      </c>
      <c r="I69" s="27">
        <v>6</v>
      </c>
      <c r="J69" s="27">
        <v>6</v>
      </c>
      <c r="K69" s="27">
        <v>5</v>
      </c>
      <c r="L69" s="27">
        <v>5</v>
      </c>
      <c r="M69" s="27">
        <v>5</v>
      </c>
      <c r="N69" s="27">
        <v>4</v>
      </c>
      <c r="O69" s="27">
        <v>4</v>
      </c>
      <c r="P69" s="27">
        <v>4</v>
      </c>
      <c r="Q69" s="27">
        <v>4</v>
      </c>
      <c r="R69" s="27">
        <v>4</v>
      </c>
      <c r="S69" s="27">
        <v>3</v>
      </c>
      <c r="T69" s="27">
        <v>3</v>
      </c>
      <c r="U69" s="27">
        <v>3</v>
      </c>
      <c r="V69" s="27">
        <v>3</v>
      </c>
      <c r="W69" s="27">
        <v>3</v>
      </c>
      <c r="X69" s="27">
        <v>2</v>
      </c>
      <c r="Y69" s="27">
        <v>2</v>
      </c>
      <c r="Z69" s="27">
        <v>2</v>
      </c>
      <c r="AA69" s="27">
        <v>2</v>
      </c>
      <c r="AB69" s="27">
        <v>2</v>
      </c>
      <c r="AC69" s="27">
        <v>2</v>
      </c>
      <c r="AD69" s="27">
        <v>1</v>
      </c>
      <c r="AE69" s="27">
        <v>1</v>
      </c>
      <c r="AF69" s="27">
        <v>1</v>
      </c>
      <c r="AG69" s="27">
        <v>1</v>
      </c>
      <c r="AH69" s="27">
        <v>1</v>
      </c>
      <c r="AI69" s="27">
        <v>1</v>
      </c>
      <c r="AJ69" s="27">
        <v>1</v>
      </c>
      <c r="AK69" s="27">
        <v>1</v>
      </c>
      <c r="AP69" s="28">
        <f t="shared" si="2"/>
        <v>142</v>
      </c>
    </row>
    <row r="70" spans="1:42" x14ac:dyDescent="0.2">
      <c r="A70" s="27">
        <v>72</v>
      </c>
      <c r="B70" s="28">
        <v>11</v>
      </c>
      <c r="C70" s="28">
        <v>10</v>
      </c>
      <c r="D70" s="27">
        <v>9</v>
      </c>
      <c r="E70" s="27">
        <v>8</v>
      </c>
      <c r="F70" s="27">
        <v>8</v>
      </c>
      <c r="G70" s="27">
        <v>7</v>
      </c>
      <c r="H70" s="27">
        <v>7</v>
      </c>
      <c r="I70" s="27">
        <v>6</v>
      </c>
      <c r="J70" s="27">
        <v>6</v>
      </c>
      <c r="K70" s="27">
        <v>6</v>
      </c>
      <c r="L70" s="27">
        <v>5</v>
      </c>
      <c r="M70" s="27">
        <v>5</v>
      </c>
      <c r="N70" s="27">
        <v>4</v>
      </c>
      <c r="O70" s="27">
        <v>4</v>
      </c>
      <c r="P70" s="27">
        <v>4</v>
      </c>
      <c r="Q70" s="27">
        <v>4</v>
      </c>
      <c r="R70" s="27">
        <v>4</v>
      </c>
      <c r="S70" s="27">
        <v>3</v>
      </c>
      <c r="T70" s="27">
        <v>3</v>
      </c>
      <c r="U70" s="27">
        <v>3</v>
      </c>
      <c r="V70" s="27">
        <v>3</v>
      </c>
      <c r="W70" s="27">
        <v>3</v>
      </c>
      <c r="X70" s="27">
        <v>2</v>
      </c>
      <c r="Y70" s="27">
        <v>2</v>
      </c>
      <c r="Z70" s="27">
        <v>2</v>
      </c>
      <c r="AA70" s="27">
        <v>2</v>
      </c>
      <c r="AB70" s="27">
        <v>2</v>
      </c>
      <c r="AC70" s="27">
        <v>2</v>
      </c>
      <c r="AD70" s="27">
        <v>2</v>
      </c>
      <c r="AE70" s="27">
        <v>1</v>
      </c>
      <c r="AF70" s="27">
        <v>1</v>
      </c>
      <c r="AG70" s="27">
        <v>1</v>
      </c>
      <c r="AH70" s="27">
        <v>1</v>
      </c>
      <c r="AI70" s="27">
        <v>1</v>
      </c>
      <c r="AJ70" s="27">
        <v>1</v>
      </c>
      <c r="AK70" s="27">
        <v>1</v>
      </c>
      <c r="AP70" s="28">
        <f t="shared" si="2"/>
        <v>144</v>
      </c>
    </row>
    <row r="71" spans="1:42" x14ac:dyDescent="0.2">
      <c r="A71" s="28">
        <v>73</v>
      </c>
      <c r="B71" s="28">
        <v>11</v>
      </c>
      <c r="C71" s="28">
        <v>10</v>
      </c>
      <c r="D71" s="27">
        <v>9</v>
      </c>
      <c r="E71" s="27">
        <v>9</v>
      </c>
      <c r="F71" s="27">
        <v>8</v>
      </c>
      <c r="G71" s="27">
        <v>7</v>
      </c>
      <c r="H71" s="27">
        <v>7</v>
      </c>
      <c r="I71" s="27">
        <v>6</v>
      </c>
      <c r="J71" s="27">
        <v>6</v>
      </c>
      <c r="K71" s="27">
        <v>5</v>
      </c>
      <c r="L71" s="27">
        <v>5</v>
      </c>
      <c r="M71" s="27">
        <v>5</v>
      </c>
      <c r="N71" s="27">
        <v>5</v>
      </c>
      <c r="O71" s="27">
        <v>4</v>
      </c>
      <c r="P71" s="27">
        <v>4</v>
      </c>
      <c r="Q71" s="27">
        <v>4</v>
      </c>
      <c r="R71" s="27">
        <v>4</v>
      </c>
      <c r="S71" s="27">
        <v>3</v>
      </c>
      <c r="T71" s="27">
        <v>3</v>
      </c>
      <c r="U71" s="27">
        <v>3</v>
      </c>
      <c r="V71" s="27">
        <v>3</v>
      </c>
      <c r="W71" s="27">
        <v>3</v>
      </c>
      <c r="X71" s="27">
        <v>2</v>
      </c>
      <c r="Y71" s="27">
        <v>2</v>
      </c>
      <c r="Z71" s="27">
        <v>2</v>
      </c>
      <c r="AA71" s="27">
        <v>2</v>
      </c>
      <c r="AB71" s="27">
        <v>2</v>
      </c>
      <c r="AC71" s="27">
        <v>2</v>
      </c>
      <c r="AD71" s="27">
        <v>2</v>
      </c>
      <c r="AE71" s="27">
        <v>1</v>
      </c>
      <c r="AF71" s="27">
        <v>1</v>
      </c>
      <c r="AG71" s="27">
        <v>1</v>
      </c>
      <c r="AH71" s="27">
        <v>1</v>
      </c>
      <c r="AI71" s="27">
        <v>1</v>
      </c>
      <c r="AJ71" s="27">
        <v>1</v>
      </c>
      <c r="AK71" s="27">
        <v>1</v>
      </c>
      <c r="AL71" s="27">
        <v>1</v>
      </c>
      <c r="AP71" s="28">
        <f t="shared" si="2"/>
        <v>146</v>
      </c>
    </row>
    <row r="72" spans="1:42" x14ac:dyDescent="0.2">
      <c r="A72" s="27">
        <v>74</v>
      </c>
      <c r="B72" s="28">
        <v>11</v>
      </c>
      <c r="C72" s="28">
        <v>10</v>
      </c>
      <c r="D72" s="27">
        <v>9</v>
      </c>
      <c r="E72" s="27">
        <v>9</v>
      </c>
      <c r="F72" s="27">
        <v>8</v>
      </c>
      <c r="G72" s="27">
        <v>8</v>
      </c>
      <c r="H72" s="27">
        <v>7</v>
      </c>
      <c r="I72" s="27">
        <v>6</v>
      </c>
      <c r="J72" s="27">
        <v>6</v>
      </c>
      <c r="K72" s="27">
        <v>5</v>
      </c>
      <c r="L72" s="27">
        <v>5</v>
      </c>
      <c r="M72" s="27">
        <v>5</v>
      </c>
      <c r="N72" s="27">
        <v>5</v>
      </c>
      <c r="O72" s="27">
        <v>4</v>
      </c>
      <c r="P72" s="27">
        <v>4</v>
      </c>
      <c r="Q72" s="27">
        <v>4</v>
      </c>
      <c r="R72" s="27">
        <v>4</v>
      </c>
      <c r="S72" s="27">
        <v>3</v>
      </c>
      <c r="T72" s="27">
        <v>3</v>
      </c>
      <c r="U72" s="27">
        <v>3</v>
      </c>
      <c r="V72" s="27">
        <v>3</v>
      </c>
      <c r="W72" s="27">
        <v>3</v>
      </c>
      <c r="X72" s="27">
        <v>2</v>
      </c>
      <c r="Y72" s="27">
        <v>2</v>
      </c>
      <c r="Z72" s="27">
        <v>2</v>
      </c>
      <c r="AA72" s="27">
        <v>2</v>
      </c>
      <c r="AB72" s="27">
        <v>2</v>
      </c>
      <c r="AC72" s="27">
        <v>2</v>
      </c>
      <c r="AD72" s="27">
        <v>2</v>
      </c>
      <c r="AE72" s="27">
        <v>2</v>
      </c>
      <c r="AF72" s="27">
        <v>1</v>
      </c>
      <c r="AG72" s="27">
        <v>1</v>
      </c>
      <c r="AH72" s="27">
        <v>1</v>
      </c>
      <c r="AI72" s="27">
        <v>1</v>
      </c>
      <c r="AJ72" s="27">
        <v>1</v>
      </c>
      <c r="AK72" s="27">
        <v>1</v>
      </c>
      <c r="AL72" s="27">
        <v>1</v>
      </c>
      <c r="AP72" s="28">
        <f t="shared" ref="AP72:AP78" si="3">SUM(B72:AO72)</f>
        <v>148</v>
      </c>
    </row>
    <row r="73" spans="1:42" x14ac:dyDescent="0.2">
      <c r="A73" s="28">
        <v>75</v>
      </c>
      <c r="B73" s="28">
        <v>11</v>
      </c>
      <c r="C73" s="28">
        <v>10</v>
      </c>
      <c r="D73" s="27">
        <v>10</v>
      </c>
      <c r="E73" s="27">
        <v>9</v>
      </c>
      <c r="F73" s="27">
        <v>8</v>
      </c>
      <c r="G73" s="27">
        <v>8</v>
      </c>
      <c r="H73" s="27">
        <v>7</v>
      </c>
      <c r="I73" s="27">
        <v>6</v>
      </c>
      <c r="J73" s="27">
        <v>6</v>
      </c>
      <c r="K73" s="27">
        <v>5</v>
      </c>
      <c r="L73" s="27">
        <v>5</v>
      </c>
      <c r="M73" s="27">
        <v>5</v>
      </c>
      <c r="N73" s="27">
        <v>5</v>
      </c>
      <c r="O73" s="27">
        <v>4</v>
      </c>
      <c r="P73" s="27">
        <v>4</v>
      </c>
      <c r="Q73" s="27">
        <v>4</v>
      </c>
      <c r="R73" s="27">
        <v>4</v>
      </c>
      <c r="S73" s="27">
        <v>3</v>
      </c>
      <c r="T73" s="27">
        <v>3</v>
      </c>
      <c r="U73" s="27">
        <v>3</v>
      </c>
      <c r="V73" s="27">
        <v>3</v>
      </c>
      <c r="W73" s="27">
        <v>3</v>
      </c>
      <c r="X73" s="27">
        <v>2</v>
      </c>
      <c r="Y73" s="27">
        <v>2</v>
      </c>
      <c r="Z73" s="27">
        <v>2</v>
      </c>
      <c r="AA73" s="27">
        <v>2</v>
      </c>
      <c r="AB73" s="27">
        <v>2</v>
      </c>
      <c r="AC73" s="27">
        <v>2</v>
      </c>
      <c r="AD73" s="27">
        <v>2</v>
      </c>
      <c r="AE73" s="27">
        <v>2</v>
      </c>
      <c r="AF73" s="27">
        <v>1</v>
      </c>
      <c r="AG73" s="27">
        <v>1</v>
      </c>
      <c r="AH73" s="27">
        <v>1</v>
      </c>
      <c r="AI73" s="27">
        <v>1</v>
      </c>
      <c r="AJ73" s="27">
        <v>1</v>
      </c>
      <c r="AK73" s="27">
        <v>1</v>
      </c>
      <c r="AL73" s="27">
        <v>1</v>
      </c>
      <c r="AM73" s="27">
        <v>1</v>
      </c>
      <c r="AP73" s="28">
        <f t="shared" si="3"/>
        <v>150</v>
      </c>
    </row>
    <row r="74" spans="1:42" x14ac:dyDescent="0.2">
      <c r="A74" s="27">
        <v>76</v>
      </c>
      <c r="B74" s="28">
        <v>11</v>
      </c>
      <c r="C74" s="28">
        <v>11</v>
      </c>
      <c r="D74" s="27">
        <v>10</v>
      </c>
      <c r="E74" s="27">
        <v>9</v>
      </c>
      <c r="F74" s="27">
        <v>8</v>
      </c>
      <c r="G74" s="27">
        <v>8</v>
      </c>
      <c r="H74" s="27">
        <v>7</v>
      </c>
      <c r="I74" s="27">
        <v>7</v>
      </c>
      <c r="J74" s="27">
        <v>6</v>
      </c>
      <c r="K74" s="27">
        <v>5</v>
      </c>
      <c r="L74" s="27">
        <v>5</v>
      </c>
      <c r="M74" s="27">
        <v>5</v>
      </c>
      <c r="N74" s="27">
        <v>5</v>
      </c>
      <c r="O74" s="27">
        <v>4</v>
      </c>
      <c r="P74" s="27">
        <v>4</v>
      </c>
      <c r="Q74" s="27">
        <v>4</v>
      </c>
      <c r="R74" s="27">
        <v>4</v>
      </c>
      <c r="S74" s="27">
        <v>3</v>
      </c>
      <c r="T74" s="27">
        <v>3</v>
      </c>
      <c r="U74" s="27">
        <v>3</v>
      </c>
      <c r="V74" s="27">
        <v>3</v>
      </c>
      <c r="W74" s="27">
        <v>3</v>
      </c>
      <c r="X74" s="27">
        <v>2</v>
      </c>
      <c r="Y74" s="27">
        <v>2</v>
      </c>
      <c r="Z74" s="27">
        <v>2</v>
      </c>
      <c r="AA74" s="27">
        <v>2</v>
      </c>
      <c r="AB74" s="27">
        <v>2</v>
      </c>
      <c r="AC74" s="27">
        <v>2</v>
      </c>
      <c r="AD74" s="27">
        <v>2</v>
      </c>
      <c r="AE74" s="27">
        <v>2</v>
      </c>
      <c r="AF74" s="27">
        <v>1</v>
      </c>
      <c r="AG74" s="27">
        <v>1</v>
      </c>
      <c r="AH74" s="27">
        <v>1</v>
      </c>
      <c r="AI74" s="27">
        <v>1</v>
      </c>
      <c r="AJ74" s="27">
        <v>1</v>
      </c>
      <c r="AK74" s="27">
        <v>1</v>
      </c>
      <c r="AL74" s="27">
        <v>1</v>
      </c>
      <c r="AM74" s="27">
        <v>1</v>
      </c>
      <c r="AP74" s="28">
        <f t="shared" si="3"/>
        <v>152</v>
      </c>
    </row>
    <row r="75" spans="1:42" x14ac:dyDescent="0.2">
      <c r="A75" s="28">
        <v>77</v>
      </c>
      <c r="B75" s="28">
        <v>12</v>
      </c>
      <c r="C75" s="28">
        <v>11</v>
      </c>
      <c r="D75" s="27">
        <v>10</v>
      </c>
      <c r="E75" s="27">
        <v>9</v>
      </c>
      <c r="F75" s="27">
        <v>8</v>
      </c>
      <c r="G75" s="27">
        <v>8</v>
      </c>
      <c r="H75" s="27">
        <v>7</v>
      </c>
      <c r="I75" s="27">
        <v>7</v>
      </c>
      <c r="J75" s="27">
        <v>6</v>
      </c>
      <c r="K75" s="27">
        <v>5</v>
      </c>
      <c r="L75" s="27">
        <v>5</v>
      </c>
      <c r="M75" s="27">
        <v>5</v>
      </c>
      <c r="N75" s="27">
        <v>5</v>
      </c>
      <c r="O75" s="27">
        <v>4</v>
      </c>
      <c r="P75" s="27">
        <v>4</v>
      </c>
      <c r="Q75" s="27">
        <v>4</v>
      </c>
      <c r="R75" s="27">
        <v>4</v>
      </c>
      <c r="S75" s="27">
        <v>3</v>
      </c>
      <c r="T75" s="27">
        <v>3</v>
      </c>
      <c r="U75" s="27">
        <v>3</v>
      </c>
      <c r="V75" s="27">
        <v>3</v>
      </c>
      <c r="W75" s="27">
        <v>3</v>
      </c>
      <c r="X75" s="27">
        <v>2</v>
      </c>
      <c r="Y75" s="27">
        <v>2</v>
      </c>
      <c r="Z75" s="27">
        <v>2</v>
      </c>
      <c r="AA75" s="27">
        <v>2</v>
      </c>
      <c r="AB75" s="27">
        <v>2</v>
      </c>
      <c r="AC75" s="27">
        <v>2</v>
      </c>
      <c r="AD75" s="27">
        <v>2</v>
      </c>
      <c r="AE75" s="27">
        <v>2</v>
      </c>
      <c r="AF75" s="27">
        <v>1</v>
      </c>
      <c r="AG75" s="27">
        <v>1</v>
      </c>
      <c r="AH75" s="27">
        <v>1</v>
      </c>
      <c r="AI75" s="27">
        <v>1</v>
      </c>
      <c r="AJ75" s="27">
        <v>1</v>
      </c>
      <c r="AK75" s="27">
        <v>1</v>
      </c>
      <c r="AL75" s="27">
        <v>1</v>
      </c>
      <c r="AM75" s="27">
        <v>1</v>
      </c>
      <c r="AN75" s="27">
        <v>1</v>
      </c>
      <c r="AP75" s="28">
        <f t="shared" si="3"/>
        <v>154</v>
      </c>
    </row>
    <row r="76" spans="1:42" x14ac:dyDescent="0.2">
      <c r="A76" s="27">
        <v>78</v>
      </c>
      <c r="B76" s="28">
        <v>12</v>
      </c>
      <c r="C76" s="28">
        <v>11</v>
      </c>
      <c r="D76" s="27">
        <v>10</v>
      </c>
      <c r="E76" s="27">
        <v>9</v>
      </c>
      <c r="F76" s="27">
        <v>8</v>
      </c>
      <c r="G76" s="27">
        <v>8</v>
      </c>
      <c r="H76" s="27">
        <v>7</v>
      </c>
      <c r="I76" s="27">
        <v>7</v>
      </c>
      <c r="J76" s="27">
        <v>6</v>
      </c>
      <c r="K76" s="27">
        <v>6</v>
      </c>
      <c r="L76" s="27">
        <v>5</v>
      </c>
      <c r="M76" s="27">
        <v>5</v>
      </c>
      <c r="N76" s="27">
        <v>5</v>
      </c>
      <c r="O76" s="27">
        <v>4</v>
      </c>
      <c r="P76" s="27">
        <v>4</v>
      </c>
      <c r="Q76" s="27">
        <v>4</v>
      </c>
      <c r="R76" s="27">
        <v>4</v>
      </c>
      <c r="S76" s="27">
        <v>4</v>
      </c>
      <c r="T76" s="27">
        <v>3</v>
      </c>
      <c r="U76" s="27">
        <v>3</v>
      </c>
      <c r="V76" s="27">
        <v>3</v>
      </c>
      <c r="W76" s="27">
        <v>3</v>
      </c>
      <c r="X76" s="27">
        <v>2</v>
      </c>
      <c r="Y76" s="27">
        <v>2</v>
      </c>
      <c r="Z76" s="27">
        <v>2</v>
      </c>
      <c r="AA76" s="27">
        <v>2</v>
      </c>
      <c r="AB76" s="27">
        <v>2</v>
      </c>
      <c r="AC76" s="27">
        <v>2</v>
      </c>
      <c r="AD76" s="27">
        <v>2</v>
      </c>
      <c r="AE76" s="27">
        <v>2</v>
      </c>
      <c r="AF76" s="27">
        <v>1</v>
      </c>
      <c r="AG76" s="27">
        <v>1</v>
      </c>
      <c r="AH76" s="27">
        <v>1</v>
      </c>
      <c r="AI76" s="27">
        <v>1</v>
      </c>
      <c r="AJ76" s="27">
        <v>1</v>
      </c>
      <c r="AK76" s="27">
        <v>1</v>
      </c>
      <c r="AL76" s="27">
        <v>1</v>
      </c>
      <c r="AM76" s="27">
        <v>1</v>
      </c>
      <c r="AN76" s="27">
        <v>1</v>
      </c>
      <c r="AP76" s="28">
        <f t="shared" si="3"/>
        <v>156</v>
      </c>
    </row>
    <row r="77" spans="1:42" x14ac:dyDescent="0.2">
      <c r="A77" s="28">
        <v>79</v>
      </c>
      <c r="B77" s="28">
        <v>12</v>
      </c>
      <c r="C77" s="28">
        <v>11</v>
      </c>
      <c r="D77" s="27">
        <v>10</v>
      </c>
      <c r="E77" s="27">
        <v>9</v>
      </c>
      <c r="F77" s="27">
        <v>8</v>
      </c>
      <c r="G77" s="27">
        <v>8</v>
      </c>
      <c r="H77" s="27">
        <v>7</v>
      </c>
      <c r="I77" s="27">
        <v>7</v>
      </c>
      <c r="J77" s="27">
        <v>6</v>
      </c>
      <c r="K77" s="27">
        <v>6</v>
      </c>
      <c r="L77" s="27">
        <v>5</v>
      </c>
      <c r="M77" s="27">
        <v>5</v>
      </c>
      <c r="N77" s="27">
        <v>5</v>
      </c>
      <c r="O77" s="27">
        <v>5</v>
      </c>
      <c r="P77" s="27">
        <v>4</v>
      </c>
      <c r="Q77" s="27">
        <v>4</v>
      </c>
      <c r="R77" s="27">
        <v>4</v>
      </c>
      <c r="S77" s="27">
        <v>4</v>
      </c>
      <c r="T77" s="27">
        <v>3</v>
      </c>
      <c r="U77" s="27">
        <v>3</v>
      </c>
      <c r="V77" s="27">
        <v>3</v>
      </c>
      <c r="W77" s="27">
        <v>3</v>
      </c>
      <c r="X77" s="27">
        <v>2</v>
      </c>
      <c r="Y77" s="27">
        <v>2</v>
      </c>
      <c r="Z77" s="27">
        <v>2</v>
      </c>
      <c r="AA77" s="27">
        <v>2</v>
      </c>
      <c r="AB77" s="27">
        <v>2</v>
      </c>
      <c r="AC77" s="27">
        <v>2</v>
      </c>
      <c r="AD77" s="27">
        <v>2</v>
      </c>
      <c r="AE77" s="27">
        <v>2</v>
      </c>
      <c r="AF77" s="27">
        <v>1</v>
      </c>
      <c r="AG77" s="27">
        <v>1</v>
      </c>
      <c r="AH77" s="27">
        <v>1</v>
      </c>
      <c r="AI77" s="27">
        <v>1</v>
      </c>
      <c r="AJ77" s="27">
        <v>1</v>
      </c>
      <c r="AK77" s="27">
        <v>1</v>
      </c>
      <c r="AL77" s="27">
        <v>1</v>
      </c>
      <c r="AM77" s="27">
        <v>1</v>
      </c>
      <c r="AN77" s="27">
        <v>1</v>
      </c>
      <c r="AO77" s="27">
        <v>1</v>
      </c>
      <c r="AP77" s="28">
        <f t="shared" si="3"/>
        <v>158</v>
      </c>
    </row>
    <row r="78" spans="1:42" x14ac:dyDescent="0.2">
      <c r="A78" s="27">
        <v>80</v>
      </c>
      <c r="B78" s="28">
        <v>12</v>
      </c>
      <c r="C78" s="28">
        <v>11</v>
      </c>
      <c r="D78" s="27">
        <v>10</v>
      </c>
      <c r="E78" s="27">
        <v>9</v>
      </c>
      <c r="F78" s="27">
        <v>8</v>
      </c>
      <c r="G78" s="27">
        <v>8</v>
      </c>
      <c r="H78" s="27">
        <v>7</v>
      </c>
      <c r="I78" s="27">
        <v>7</v>
      </c>
      <c r="J78" s="27">
        <v>6</v>
      </c>
      <c r="K78" s="27">
        <v>6</v>
      </c>
      <c r="L78" s="27">
        <v>5</v>
      </c>
      <c r="M78" s="27">
        <v>5</v>
      </c>
      <c r="N78" s="27">
        <v>5</v>
      </c>
      <c r="O78" s="27">
        <v>5</v>
      </c>
      <c r="P78" s="27">
        <v>4</v>
      </c>
      <c r="Q78" s="27">
        <v>4</v>
      </c>
      <c r="R78" s="27">
        <v>4</v>
      </c>
      <c r="S78" s="27">
        <v>4</v>
      </c>
      <c r="T78" s="27">
        <v>3</v>
      </c>
      <c r="U78" s="27">
        <v>3</v>
      </c>
      <c r="V78" s="27">
        <v>3</v>
      </c>
      <c r="W78" s="27">
        <v>3</v>
      </c>
      <c r="X78" s="27">
        <v>3</v>
      </c>
      <c r="Y78" s="27">
        <v>2</v>
      </c>
      <c r="Z78" s="27">
        <v>2</v>
      </c>
      <c r="AA78" s="27">
        <v>2</v>
      </c>
      <c r="AB78" s="27">
        <v>2</v>
      </c>
      <c r="AC78" s="27">
        <v>2</v>
      </c>
      <c r="AD78" s="27">
        <v>2</v>
      </c>
      <c r="AE78" s="27">
        <v>2</v>
      </c>
      <c r="AF78" s="27">
        <v>2</v>
      </c>
      <c r="AG78" s="27">
        <v>1</v>
      </c>
      <c r="AH78" s="27">
        <v>1</v>
      </c>
      <c r="AI78" s="27">
        <v>1</v>
      </c>
      <c r="AJ78" s="27">
        <v>1</v>
      </c>
      <c r="AK78" s="27">
        <v>1</v>
      </c>
      <c r="AL78" s="27">
        <v>1</v>
      </c>
      <c r="AM78" s="27">
        <v>1</v>
      </c>
      <c r="AN78" s="27">
        <v>1</v>
      </c>
      <c r="AO78" s="27">
        <v>1</v>
      </c>
      <c r="AP78" s="28">
        <f t="shared" si="3"/>
        <v>160</v>
      </c>
    </row>
    <row r="79" spans="1:42" hidden="1" x14ac:dyDescent="0.2">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row>
    <row r="80" spans="1:42" hidden="1" x14ac:dyDescent="0.2">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row>
    <row r="81" spans="17:50" hidden="1" x14ac:dyDescent="0.2">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row>
    <row r="82" spans="17:50" hidden="1" x14ac:dyDescent="0.2">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row>
    <row r="83" spans="17:50" hidden="1" x14ac:dyDescent="0.2">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row>
    <row r="84" spans="17:50" hidden="1" x14ac:dyDescent="0.2">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row>
    <row r="85" spans="17:50" hidden="1" x14ac:dyDescent="0.2">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row>
    <row r="86" spans="17:50" hidden="1" x14ac:dyDescent="0.2">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row>
    <row r="87" spans="17:50" hidden="1" x14ac:dyDescent="0.2">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row>
    <row r="88" spans="17:50" hidden="1" x14ac:dyDescent="0.2">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row>
    <row r="89" spans="17:50" hidden="1" x14ac:dyDescent="0.2">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row>
    <row r="90" spans="17:50" hidden="1" x14ac:dyDescent="0.2">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row>
    <row r="91" spans="17:50" hidden="1" x14ac:dyDescent="0.2">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row>
    <row r="92" spans="17:50" hidden="1" x14ac:dyDescent="0.2">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row>
    <row r="93" spans="17:50" hidden="1" x14ac:dyDescent="0.2">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row>
    <row r="94" spans="17:50" hidden="1" x14ac:dyDescent="0.2">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row>
    <row r="95" spans="17:50" hidden="1" x14ac:dyDescent="0.2">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row>
    <row r="96" spans="17:50" hidden="1" x14ac:dyDescent="0.2">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row>
    <row r="97" spans="25:53" hidden="1" x14ac:dyDescent="0.2">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row>
    <row r="98" spans="25:53" hidden="1" x14ac:dyDescent="0.2">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row>
    <row r="99" spans="25:53" hidden="1" x14ac:dyDescent="0.2">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row>
    <row r="100" spans="25:53" hidden="1" x14ac:dyDescent="0.2">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row>
    <row r="101" spans="25:53" hidden="1" x14ac:dyDescent="0.2">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row>
    <row r="102" spans="25:53" hidden="1" x14ac:dyDescent="0.2">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row>
    <row r="103" spans="25:53" hidden="1" x14ac:dyDescent="0.2">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row>
    <row r="104" spans="25:53" hidden="1" x14ac:dyDescent="0.2">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row>
    <row r="105" spans="25:53" hidden="1" x14ac:dyDescent="0.2">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row>
    <row r="106" spans="25:53" hidden="1" x14ac:dyDescent="0.2">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row>
    <row r="107" spans="25:53" hidden="1" x14ac:dyDescent="0.2">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row>
    <row r="108" spans="25:53" hidden="1" x14ac:dyDescent="0.2">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row>
    <row r="109" spans="25:53" hidden="1" x14ac:dyDescent="0.2">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row>
    <row r="110" spans="25:53" hidden="1" x14ac:dyDescent="0.2">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row>
    <row r="111" spans="25:53" hidden="1" x14ac:dyDescent="0.2">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row>
    <row r="112" spans="25:53" hidden="1" x14ac:dyDescent="0.2">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row>
    <row r="113" spans="33:53" hidden="1" x14ac:dyDescent="0.2">
      <c r="AG113" s="27"/>
      <c r="AH113" s="27"/>
      <c r="AI113" s="27"/>
      <c r="AJ113" s="27"/>
      <c r="AK113" s="27"/>
      <c r="AL113" s="27"/>
      <c r="AM113" s="27"/>
      <c r="AN113" s="27"/>
      <c r="AO113" s="27"/>
      <c r="AP113" s="27"/>
      <c r="AQ113" s="27"/>
      <c r="AR113" s="27"/>
      <c r="AS113" s="27"/>
      <c r="AT113" s="27"/>
      <c r="AU113" s="27"/>
      <c r="AV113" s="27"/>
      <c r="AW113" s="27"/>
      <c r="AX113" s="27"/>
      <c r="AY113" s="27"/>
      <c r="AZ113" s="27"/>
      <c r="BA113" s="27"/>
    </row>
    <row r="114" spans="33:53" hidden="1" x14ac:dyDescent="0.2">
      <c r="AG114" s="27"/>
      <c r="AH114" s="27"/>
      <c r="AI114" s="27"/>
      <c r="AJ114" s="27"/>
      <c r="AK114" s="27"/>
      <c r="AL114" s="27"/>
      <c r="AM114" s="27"/>
      <c r="AN114" s="27"/>
      <c r="AO114" s="27"/>
      <c r="AP114" s="27"/>
      <c r="AQ114" s="27"/>
      <c r="AR114" s="27"/>
      <c r="AS114" s="27"/>
      <c r="AT114" s="27"/>
      <c r="AU114" s="27"/>
      <c r="AV114" s="27"/>
      <c r="AW114" s="27"/>
      <c r="AX114" s="27"/>
      <c r="AY114" s="27"/>
      <c r="AZ114" s="27"/>
      <c r="BA114" s="27"/>
    </row>
    <row r="115" spans="33:53" hidden="1" x14ac:dyDescent="0.2">
      <c r="AH115" s="27"/>
      <c r="AI115" s="27"/>
      <c r="AJ115" s="27"/>
      <c r="AK115" s="27"/>
      <c r="AL115" s="27"/>
      <c r="AM115" s="27"/>
      <c r="AN115" s="27"/>
      <c r="AO115" s="27"/>
      <c r="AP115" s="27"/>
      <c r="AQ115" s="27"/>
      <c r="AR115" s="27"/>
      <c r="AS115" s="27"/>
      <c r="AT115" s="27"/>
      <c r="AU115" s="27"/>
      <c r="AV115" s="27"/>
      <c r="AW115" s="27"/>
      <c r="AX115" s="27"/>
      <c r="AY115" s="27"/>
      <c r="AZ115" s="27"/>
      <c r="BA115" s="27"/>
    </row>
    <row r="116" spans="33:53" hidden="1" x14ac:dyDescent="0.2">
      <c r="AH116" s="27"/>
      <c r="AI116" s="27"/>
      <c r="AJ116" s="27"/>
      <c r="AK116" s="27"/>
      <c r="AL116" s="27"/>
      <c r="AM116" s="27"/>
      <c r="AN116" s="27"/>
      <c r="AO116" s="27"/>
      <c r="AP116" s="27"/>
      <c r="AQ116" s="27"/>
      <c r="AR116" s="27"/>
      <c r="AS116" s="27"/>
      <c r="AT116" s="27"/>
      <c r="AU116" s="27"/>
      <c r="AV116" s="27"/>
      <c r="AW116" s="27"/>
      <c r="AX116" s="27"/>
      <c r="AY116" s="27"/>
      <c r="AZ116" s="27"/>
      <c r="BA116" s="27"/>
    </row>
    <row r="117" spans="33:53" hidden="1" x14ac:dyDescent="0.2">
      <c r="AI117" s="27"/>
      <c r="AJ117" s="27"/>
      <c r="AK117" s="27"/>
      <c r="AL117" s="27"/>
      <c r="AM117" s="27"/>
      <c r="AN117" s="27"/>
      <c r="AO117" s="27"/>
      <c r="AP117" s="27"/>
      <c r="AQ117" s="27"/>
      <c r="AR117" s="27"/>
      <c r="AS117" s="27"/>
      <c r="AT117" s="27"/>
      <c r="AU117" s="27"/>
      <c r="AV117" s="27"/>
      <c r="AW117" s="27"/>
      <c r="AX117" s="27"/>
      <c r="AY117" s="27"/>
      <c r="AZ117" s="27"/>
      <c r="BA117" s="27"/>
    </row>
    <row r="118" spans="33:53" hidden="1" x14ac:dyDescent="0.2">
      <c r="AI118" s="27"/>
      <c r="AJ118" s="27"/>
      <c r="AK118" s="27"/>
      <c r="AL118" s="27"/>
      <c r="AM118" s="27"/>
      <c r="AN118" s="27"/>
      <c r="AO118" s="27"/>
      <c r="AP118" s="27"/>
      <c r="AQ118" s="27"/>
      <c r="AR118" s="27"/>
      <c r="AS118" s="27"/>
      <c r="AT118" s="27"/>
      <c r="AU118" s="27"/>
      <c r="AV118" s="27"/>
      <c r="AW118" s="27"/>
      <c r="AX118" s="27"/>
      <c r="AY118" s="27"/>
      <c r="AZ118" s="27"/>
      <c r="BA118" s="27"/>
    </row>
    <row r="119" spans="33:53" hidden="1" x14ac:dyDescent="0.2">
      <c r="AJ119" s="27"/>
      <c r="AK119" s="27"/>
      <c r="AL119" s="27"/>
      <c r="AM119" s="27"/>
      <c r="AN119" s="27"/>
      <c r="AO119" s="27"/>
      <c r="AP119" s="27"/>
      <c r="AQ119" s="27"/>
      <c r="AR119" s="27"/>
      <c r="AS119" s="27"/>
      <c r="AT119" s="27"/>
      <c r="AU119" s="27"/>
      <c r="AV119" s="27"/>
      <c r="AW119" s="27"/>
      <c r="AX119" s="27"/>
      <c r="AY119" s="27"/>
      <c r="AZ119" s="27"/>
      <c r="BA119" s="27"/>
    </row>
    <row r="120" spans="33:53" hidden="1" x14ac:dyDescent="0.2">
      <c r="AJ120" s="27"/>
      <c r="AK120" s="27"/>
      <c r="AL120" s="27"/>
      <c r="AM120" s="27"/>
      <c r="AN120" s="27"/>
      <c r="AO120" s="27"/>
      <c r="AP120" s="27"/>
      <c r="AQ120" s="27"/>
      <c r="AR120" s="27"/>
      <c r="AS120" s="27"/>
      <c r="AT120" s="27"/>
      <c r="AU120" s="27"/>
      <c r="AV120" s="27"/>
      <c r="AW120" s="27"/>
      <c r="AX120" s="27"/>
      <c r="AY120" s="27"/>
      <c r="AZ120" s="27"/>
      <c r="BA120" s="27"/>
    </row>
    <row r="121" spans="33:53" hidden="1" x14ac:dyDescent="0.2">
      <c r="AK121" s="27"/>
      <c r="AL121" s="27"/>
      <c r="AM121" s="27"/>
      <c r="AN121" s="27"/>
      <c r="AO121" s="27"/>
      <c r="AP121" s="27"/>
      <c r="AQ121" s="27"/>
      <c r="AR121" s="27"/>
      <c r="AS121" s="27"/>
      <c r="AT121" s="27"/>
      <c r="AU121" s="27"/>
      <c r="AV121" s="27"/>
      <c r="AW121" s="27"/>
      <c r="AX121" s="27"/>
      <c r="AY121" s="27"/>
      <c r="AZ121" s="27"/>
      <c r="BA121" s="27"/>
    </row>
    <row r="122" spans="33:53" hidden="1" x14ac:dyDescent="0.2">
      <c r="AK122" s="27"/>
      <c r="AL122" s="27"/>
      <c r="AM122" s="27"/>
      <c r="AN122" s="27"/>
      <c r="AO122" s="27"/>
      <c r="AP122" s="27"/>
      <c r="AQ122" s="27"/>
      <c r="AR122" s="27"/>
      <c r="AS122" s="27"/>
      <c r="AT122" s="27"/>
      <c r="AU122" s="27"/>
      <c r="AV122" s="27"/>
      <c r="AW122" s="27"/>
      <c r="AX122" s="27"/>
      <c r="AY122" s="27"/>
      <c r="AZ122" s="27"/>
      <c r="BA122" s="27"/>
    </row>
    <row r="123" spans="33:53" hidden="1" x14ac:dyDescent="0.2">
      <c r="AL123" s="27"/>
      <c r="AM123" s="27"/>
      <c r="AN123" s="27"/>
      <c r="AO123" s="27"/>
      <c r="AP123" s="27"/>
      <c r="AQ123" s="27"/>
      <c r="AR123" s="27"/>
      <c r="AS123" s="27"/>
      <c r="AT123" s="27"/>
      <c r="AU123" s="27"/>
      <c r="AV123" s="27"/>
      <c r="AW123" s="27"/>
      <c r="AX123" s="27"/>
      <c r="AY123" s="27"/>
      <c r="AZ123" s="27"/>
      <c r="BA123" s="27"/>
    </row>
    <row r="124" spans="33:53" hidden="1" x14ac:dyDescent="0.2">
      <c r="AL124" s="27"/>
      <c r="AM124" s="27"/>
      <c r="AN124" s="27"/>
      <c r="AO124" s="27"/>
      <c r="AP124" s="27"/>
      <c r="AQ124" s="27"/>
      <c r="AR124" s="27"/>
      <c r="AS124" s="27"/>
      <c r="AT124" s="27"/>
      <c r="AU124" s="27"/>
      <c r="AV124" s="27"/>
      <c r="AW124" s="27"/>
      <c r="AX124" s="27"/>
      <c r="AY124" s="27"/>
      <c r="AZ124" s="27"/>
      <c r="BA124" s="27"/>
    </row>
    <row r="125" spans="33:53" hidden="1" x14ac:dyDescent="0.2">
      <c r="AM125" s="27"/>
      <c r="AN125" s="27"/>
      <c r="AO125" s="27"/>
      <c r="AP125" s="27"/>
      <c r="AQ125" s="27"/>
      <c r="AR125" s="27"/>
      <c r="AS125" s="27"/>
      <c r="AT125" s="27"/>
      <c r="AU125" s="27"/>
      <c r="AV125" s="27"/>
      <c r="AW125" s="27"/>
      <c r="AX125" s="27"/>
      <c r="AY125" s="27"/>
      <c r="AZ125" s="27"/>
      <c r="BA125" s="27"/>
    </row>
    <row r="126" spans="33:53" hidden="1" x14ac:dyDescent="0.2">
      <c r="AM126" s="27"/>
      <c r="AN126" s="27"/>
      <c r="AO126" s="27"/>
      <c r="AP126" s="27"/>
      <c r="AQ126" s="27"/>
      <c r="AR126" s="27"/>
      <c r="AS126" s="27"/>
      <c r="AT126" s="27"/>
      <c r="AU126" s="27"/>
      <c r="AV126" s="27"/>
      <c r="AW126" s="27"/>
      <c r="AX126" s="27"/>
      <c r="AY126" s="27"/>
      <c r="AZ126" s="27"/>
      <c r="BA126" s="27"/>
    </row>
    <row r="127" spans="33:53" hidden="1" x14ac:dyDescent="0.2">
      <c r="AN127" s="27"/>
      <c r="AO127" s="27"/>
      <c r="AP127" s="27"/>
      <c r="AQ127" s="27"/>
      <c r="AR127" s="27"/>
      <c r="AS127" s="27"/>
      <c r="AT127" s="27"/>
      <c r="AU127" s="27"/>
      <c r="AV127" s="27"/>
      <c r="AW127" s="27"/>
      <c r="AX127" s="27"/>
      <c r="AY127" s="27"/>
      <c r="AZ127" s="27"/>
      <c r="BA127" s="27"/>
    </row>
    <row r="128" spans="33:53" hidden="1" x14ac:dyDescent="0.2">
      <c r="AN128" s="27"/>
      <c r="AO128" s="27"/>
      <c r="AP128" s="27"/>
      <c r="AQ128" s="27"/>
      <c r="AR128" s="27"/>
      <c r="AS128" s="27"/>
      <c r="AT128" s="27"/>
      <c r="AU128" s="27"/>
      <c r="AV128" s="27"/>
      <c r="AW128" s="27"/>
      <c r="AX128" s="27"/>
      <c r="AY128" s="27"/>
      <c r="AZ128" s="27"/>
      <c r="BA128" s="27"/>
    </row>
    <row r="129" spans="41:53" hidden="1" x14ac:dyDescent="0.2">
      <c r="AO129" s="27"/>
      <c r="AP129" s="27"/>
      <c r="AQ129" s="27"/>
      <c r="AR129" s="27"/>
      <c r="AS129" s="27"/>
      <c r="AT129" s="27"/>
      <c r="AU129" s="27"/>
      <c r="AV129" s="27"/>
      <c r="AW129" s="27"/>
      <c r="AX129" s="27"/>
      <c r="AY129" s="27"/>
      <c r="AZ129" s="27"/>
      <c r="BA129" s="27"/>
    </row>
    <row r="130" spans="41:53" hidden="1" x14ac:dyDescent="0.2">
      <c r="AO130" s="27"/>
      <c r="AP130" s="27"/>
      <c r="AQ130" s="27"/>
      <c r="AR130" s="27"/>
      <c r="AS130" s="27"/>
      <c r="AT130" s="27"/>
      <c r="AU130" s="27"/>
      <c r="AV130" s="27"/>
      <c r="AW130" s="27"/>
      <c r="AX130" s="27"/>
      <c r="AY130" s="27"/>
      <c r="AZ130" s="27"/>
      <c r="BA130" s="27"/>
    </row>
    <row r="131" spans="41:53" hidden="1" x14ac:dyDescent="0.2">
      <c r="AP131" s="27"/>
      <c r="AQ131" s="27"/>
      <c r="AR131" s="27"/>
      <c r="AS131" s="27"/>
      <c r="AT131" s="27"/>
      <c r="AU131" s="27"/>
      <c r="AV131" s="27"/>
      <c r="AW131" s="27"/>
      <c r="AX131" s="27"/>
      <c r="AY131" s="27"/>
      <c r="AZ131" s="27"/>
      <c r="BA131" s="27"/>
    </row>
    <row r="132" spans="41:53" hidden="1" x14ac:dyDescent="0.2">
      <c r="AP132" s="27"/>
      <c r="AQ132" s="27"/>
      <c r="AR132" s="27"/>
      <c r="AS132" s="27"/>
      <c r="AT132" s="27"/>
      <c r="AU132" s="27"/>
      <c r="AV132" s="27"/>
      <c r="AW132" s="27"/>
      <c r="AX132" s="27"/>
      <c r="AY132" s="27"/>
      <c r="AZ132" s="27"/>
      <c r="BA132" s="27"/>
    </row>
    <row r="133" spans="41:53" hidden="1" x14ac:dyDescent="0.2">
      <c r="AQ133" s="27"/>
      <c r="AR133" s="27"/>
      <c r="AS133" s="27"/>
      <c r="AT133" s="27"/>
      <c r="AU133" s="27"/>
      <c r="AV133" s="27"/>
      <c r="AW133" s="27"/>
      <c r="AX133" s="27"/>
      <c r="AY133" s="27"/>
      <c r="AZ133" s="27"/>
      <c r="BA133" s="27"/>
    </row>
    <row r="134" spans="41:53" hidden="1" x14ac:dyDescent="0.2">
      <c r="AQ134" s="27"/>
      <c r="AR134" s="27"/>
      <c r="AS134" s="27"/>
      <c r="AT134" s="27"/>
      <c r="AU134" s="27"/>
      <c r="AV134" s="27"/>
      <c r="AW134" s="27"/>
      <c r="AX134" s="27"/>
      <c r="AY134" s="27"/>
      <c r="AZ134" s="27"/>
      <c r="BA134" s="27"/>
    </row>
    <row r="135" spans="41:53" hidden="1" x14ac:dyDescent="0.2">
      <c r="AR135" s="27"/>
      <c r="AS135" s="27"/>
      <c r="AT135" s="27"/>
      <c r="AU135" s="27"/>
      <c r="AV135" s="27"/>
      <c r="AW135" s="27"/>
      <c r="AX135" s="27"/>
      <c r="AY135" s="27"/>
      <c r="AZ135" s="27"/>
      <c r="BA135" s="27"/>
    </row>
    <row r="136" spans="41:53" hidden="1" x14ac:dyDescent="0.2">
      <c r="AR136" s="27"/>
      <c r="AS136" s="27"/>
      <c r="AT136" s="27"/>
      <c r="AU136" s="27"/>
      <c r="AV136" s="27"/>
      <c r="AW136" s="27"/>
      <c r="AX136" s="27"/>
      <c r="AY136" s="27"/>
      <c r="AZ136" s="27"/>
      <c r="BA136" s="27"/>
    </row>
    <row r="137" spans="41:53" hidden="1" x14ac:dyDescent="0.2">
      <c r="AS137" s="27"/>
      <c r="AT137" s="27"/>
      <c r="AU137" s="27"/>
      <c r="AV137" s="27"/>
      <c r="AW137" s="27"/>
      <c r="AX137" s="27"/>
      <c r="AY137" s="27"/>
      <c r="AZ137" s="27"/>
      <c r="BA137" s="27"/>
    </row>
    <row r="138" spans="41:53" hidden="1" x14ac:dyDescent="0.2">
      <c r="AS138" s="27"/>
      <c r="AT138" s="27"/>
      <c r="AU138" s="27"/>
      <c r="AV138" s="27"/>
      <c r="AW138" s="27"/>
      <c r="AX138" s="27"/>
      <c r="AY138" s="27"/>
      <c r="AZ138" s="27"/>
      <c r="BA138" s="27"/>
    </row>
    <row r="139" spans="41:53" hidden="1" x14ac:dyDescent="0.2">
      <c r="AT139" s="27"/>
      <c r="AU139" s="27"/>
      <c r="AV139" s="27"/>
      <c r="AW139" s="27"/>
      <c r="AX139" s="27"/>
      <c r="AY139" s="27"/>
      <c r="AZ139" s="27"/>
      <c r="BA139" s="27"/>
    </row>
    <row r="140" spans="41:53" hidden="1" x14ac:dyDescent="0.2">
      <c r="AT140" s="27"/>
      <c r="AU140" s="27"/>
      <c r="AV140" s="27"/>
      <c r="AW140" s="27"/>
      <c r="AX140" s="27"/>
      <c r="AY140" s="27"/>
      <c r="AZ140" s="27"/>
      <c r="BA140" s="27"/>
    </row>
    <row r="141" spans="41:53" hidden="1" x14ac:dyDescent="0.2">
      <c r="AU141" s="27"/>
      <c r="AV141" s="27"/>
      <c r="AW141" s="27"/>
      <c r="AX141" s="27"/>
      <c r="AY141" s="27"/>
      <c r="AZ141" s="27"/>
      <c r="BA141" s="27"/>
    </row>
    <row r="142" spans="41:53" hidden="1" x14ac:dyDescent="0.2">
      <c r="AU142" s="27"/>
      <c r="AV142" s="27"/>
      <c r="AW142" s="27"/>
      <c r="AX142" s="27"/>
      <c r="AY142" s="27"/>
      <c r="AZ142" s="27"/>
      <c r="BA142" s="27"/>
    </row>
    <row r="143" spans="41:53" hidden="1" x14ac:dyDescent="0.2">
      <c r="AV143" s="27"/>
      <c r="AW143" s="27"/>
      <c r="AX143" s="27"/>
      <c r="AY143" s="27"/>
      <c r="AZ143" s="27"/>
      <c r="BA143" s="27"/>
    </row>
    <row r="144" spans="41:53" hidden="1" x14ac:dyDescent="0.2">
      <c r="AV144" s="27"/>
      <c r="AW144" s="27"/>
      <c r="AX144" s="27"/>
      <c r="AY144" s="27"/>
      <c r="AZ144" s="27"/>
      <c r="BA144" s="27"/>
    </row>
    <row r="145" spans="49:53" hidden="1" x14ac:dyDescent="0.2">
      <c r="AW145" s="27"/>
      <c r="AX145" s="27"/>
      <c r="AY145" s="27"/>
      <c r="AZ145" s="27"/>
      <c r="BA145" s="27"/>
    </row>
    <row r="146" spans="49:53" hidden="1" x14ac:dyDescent="0.2">
      <c r="AW146" s="27"/>
      <c r="AX146" s="27"/>
      <c r="AY146" s="27"/>
      <c r="AZ146" s="27"/>
      <c r="BA146" s="27"/>
    </row>
    <row r="147" spans="49:53" hidden="1" x14ac:dyDescent="0.2">
      <c r="AX147" s="27"/>
      <c r="AY147" s="27"/>
      <c r="AZ147" s="27"/>
      <c r="BA147" s="27"/>
    </row>
    <row r="148" spans="49:53" hidden="1" x14ac:dyDescent="0.2">
      <c r="AX148" s="27"/>
      <c r="AY148" s="27"/>
      <c r="AZ148" s="27"/>
      <c r="BA148" s="27"/>
    </row>
    <row r="149" spans="49:53" hidden="1" x14ac:dyDescent="0.2">
      <c r="AY149" s="27"/>
      <c r="AZ149" s="27"/>
      <c r="BA149" s="27"/>
    </row>
    <row r="150" spans="49:53" hidden="1" x14ac:dyDescent="0.2">
      <c r="AY150" s="27"/>
      <c r="AZ150" s="27"/>
      <c r="BA150" s="27"/>
    </row>
    <row r="151" spans="49:53" hidden="1" x14ac:dyDescent="0.2">
      <c r="AZ151" s="27"/>
      <c r="BA151" s="27"/>
    </row>
    <row r="152" spans="49:53" hidden="1" x14ac:dyDescent="0.2">
      <c r="AZ152" s="27"/>
      <c r="BA152" s="27"/>
    </row>
    <row r="153" spans="49:53" hidden="1" x14ac:dyDescent="0.2">
      <c r="BA153" s="27"/>
    </row>
    <row r="154" spans="49:53" hidden="1" x14ac:dyDescent="0.2">
      <c r="BA154" s="27"/>
    </row>
  </sheetData>
  <sheetProtection sheet="1" objects="1" scenarios="1"/>
  <phoneticPr fontId="0" type="noConversion"/>
  <conditionalFormatting sqref="A2:AP78">
    <cfRule type="expression" dxfId="4" priority="1" stopIfTrue="1">
      <formula>$A2=aantal_ploegen</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55824-6ECB-4302-8BF7-57EC2AE9C198}">
  <dimension ref="A1:BA154"/>
  <sheetViews>
    <sheetView showGridLines="0" workbookViewId="0">
      <pane xSplit="1" ySplit="1" topLeftCell="B2" activePane="bottomRight" state="frozen"/>
      <selection activeCell="AC4" sqref="AC4"/>
      <selection pane="topRight" activeCell="AC4" sqref="AC4"/>
      <selection pane="bottomLeft" activeCell="AC4" sqref="AC4"/>
      <selection pane="bottomRight" activeCell="AC4" sqref="AC4"/>
    </sheetView>
  </sheetViews>
  <sheetFormatPr defaultColWidth="0" defaultRowHeight="12.75" zeroHeight="1" x14ac:dyDescent="0.2"/>
  <cols>
    <col min="1" max="1" width="7.7109375" style="28" bestFit="1" customWidth="1"/>
    <col min="2" max="41" width="3.7109375" style="28" customWidth="1"/>
    <col min="42" max="42" width="5.7109375" style="28" customWidth="1"/>
    <col min="43" max="53" width="0" style="28" hidden="1" customWidth="1"/>
    <col min="54" max="256" width="9.140625" style="28" hidden="1" customWidth="1"/>
    <col min="257" max="16384" width="9.140625" style="28" hidden="1"/>
  </cols>
  <sheetData>
    <row r="1" spans="1:42" x14ac:dyDescent="0.2">
      <c r="A1" s="27" t="s">
        <v>73</v>
      </c>
      <c r="B1" s="27">
        <v>1</v>
      </c>
      <c r="C1" s="27">
        <v>2</v>
      </c>
      <c r="D1" s="27">
        <v>3</v>
      </c>
      <c r="E1" s="27">
        <v>4</v>
      </c>
      <c r="F1" s="27">
        <v>5</v>
      </c>
      <c r="G1" s="27">
        <v>6</v>
      </c>
      <c r="H1" s="27">
        <v>7</v>
      </c>
      <c r="I1" s="27">
        <v>8</v>
      </c>
      <c r="J1" s="27">
        <v>9</v>
      </c>
      <c r="K1" s="27">
        <v>10</v>
      </c>
      <c r="L1" s="27">
        <v>11</v>
      </c>
      <c r="M1" s="27">
        <v>12</v>
      </c>
      <c r="N1" s="27">
        <v>13</v>
      </c>
      <c r="O1" s="27">
        <v>14</v>
      </c>
      <c r="P1" s="27">
        <v>15</v>
      </c>
      <c r="Q1" s="27">
        <v>16</v>
      </c>
      <c r="R1" s="27">
        <v>17</v>
      </c>
      <c r="S1" s="27">
        <v>18</v>
      </c>
      <c r="T1" s="27">
        <v>19</v>
      </c>
      <c r="U1" s="27">
        <v>20</v>
      </c>
      <c r="V1" s="27">
        <v>21</v>
      </c>
      <c r="W1" s="27">
        <v>22</v>
      </c>
      <c r="X1" s="27">
        <v>23</v>
      </c>
      <c r="Y1" s="27">
        <v>24</v>
      </c>
      <c r="Z1" s="27">
        <v>25</v>
      </c>
      <c r="AA1" s="27">
        <v>26</v>
      </c>
      <c r="AB1" s="27">
        <v>27</v>
      </c>
      <c r="AC1" s="27">
        <v>28</v>
      </c>
      <c r="AD1" s="27">
        <v>29</v>
      </c>
      <c r="AE1" s="27">
        <v>30</v>
      </c>
      <c r="AF1" s="27">
        <v>31</v>
      </c>
      <c r="AG1" s="27">
        <v>32</v>
      </c>
      <c r="AH1" s="27">
        <v>33</v>
      </c>
      <c r="AI1" s="27">
        <v>34</v>
      </c>
      <c r="AJ1" s="27">
        <v>35</v>
      </c>
      <c r="AK1" s="27">
        <v>36</v>
      </c>
      <c r="AL1" s="27">
        <v>37</v>
      </c>
      <c r="AM1" s="27">
        <v>38</v>
      </c>
      <c r="AN1" s="27">
        <v>39</v>
      </c>
      <c r="AO1" s="27">
        <v>40</v>
      </c>
    </row>
    <row r="2" spans="1:42" x14ac:dyDescent="0.2">
      <c r="A2" s="27">
        <v>4</v>
      </c>
      <c r="B2" s="27" cm="1">
        <f t="array" ref="B2:AO78">IF(tbl_prijzengeld_oud&lt;&gt;"",tbl_prijzengeld_oud*Tabellen!I3/2,"")</f>
        <v>5</v>
      </c>
      <c r="C2" s="27">
        <v>3</v>
      </c>
      <c r="D2" s="27" t="str">
        <v/>
      </c>
      <c r="E2" s="27" t="str">
        <v/>
      </c>
      <c r="F2" s="27" t="str">
        <v/>
      </c>
      <c r="G2" s="27" t="str">
        <v/>
      </c>
      <c r="H2" s="27" t="str">
        <v/>
      </c>
      <c r="I2" s="27" t="str">
        <v/>
      </c>
      <c r="J2" s="27" t="str">
        <v/>
      </c>
      <c r="K2" s="27" t="str">
        <v/>
      </c>
      <c r="L2" s="27" t="str">
        <v/>
      </c>
      <c r="M2" s="27" t="str">
        <v/>
      </c>
      <c r="N2" s="27" t="str">
        <v/>
      </c>
      <c r="O2" s="27" t="str">
        <v/>
      </c>
      <c r="P2" s="27" t="str">
        <v/>
      </c>
      <c r="Q2" s="27" t="str">
        <v/>
      </c>
      <c r="R2" s="27" t="str">
        <v/>
      </c>
      <c r="S2" s="27" t="str">
        <v/>
      </c>
      <c r="T2" s="27" t="str">
        <v/>
      </c>
      <c r="U2" s="27" t="str">
        <v/>
      </c>
      <c r="V2" s="27" t="str">
        <v/>
      </c>
      <c r="W2" s="27" t="str">
        <v/>
      </c>
      <c r="X2" s="27" t="str">
        <v/>
      </c>
      <c r="Y2" s="27" t="str">
        <v/>
      </c>
      <c r="Z2" s="27" t="str">
        <v/>
      </c>
      <c r="AA2" s="27" t="str">
        <v/>
      </c>
      <c r="AB2" s="27" t="str">
        <v/>
      </c>
      <c r="AC2" s="27" t="str">
        <v/>
      </c>
      <c r="AD2" s="27" t="str">
        <v/>
      </c>
      <c r="AE2" s="27" t="str">
        <v/>
      </c>
      <c r="AF2" s="27" t="str">
        <v/>
      </c>
      <c r="AG2" s="27" t="str">
        <v/>
      </c>
      <c r="AH2" s="27" t="str">
        <v/>
      </c>
      <c r="AI2" s="27" t="str">
        <v/>
      </c>
      <c r="AJ2" s="27" t="str">
        <v/>
      </c>
      <c r="AK2" s="27" t="str">
        <v/>
      </c>
      <c r="AL2" s="27" t="str">
        <v/>
      </c>
      <c r="AM2" s="27" t="str">
        <v/>
      </c>
      <c r="AN2" s="27" t="str">
        <v/>
      </c>
      <c r="AO2" s="27" t="str">
        <v/>
      </c>
      <c r="AP2" s="28">
        <f t="shared" ref="AP2:AP65" si="0">SUM(B2:AO2)</f>
        <v>8</v>
      </c>
    </row>
    <row r="3" spans="1:42" x14ac:dyDescent="0.2">
      <c r="A3" s="27">
        <v>5</v>
      </c>
      <c r="B3" s="27">
        <v>5</v>
      </c>
      <c r="C3" s="27">
        <v>3</v>
      </c>
      <c r="D3" s="27">
        <v>2</v>
      </c>
      <c r="E3" s="27" t="str">
        <v/>
      </c>
      <c r="F3" s="27" t="str">
        <v/>
      </c>
      <c r="G3" s="27" t="str">
        <v/>
      </c>
      <c r="H3" s="27" t="str">
        <v/>
      </c>
      <c r="I3" s="27" t="str">
        <v/>
      </c>
      <c r="J3" s="27" t="str">
        <v/>
      </c>
      <c r="K3" s="27" t="str">
        <v/>
      </c>
      <c r="L3" s="27" t="str">
        <v/>
      </c>
      <c r="M3" s="27" t="str">
        <v/>
      </c>
      <c r="N3" s="27" t="str">
        <v/>
      </c>
      <c r="O3" s="27" t="str">
        <v/>
      </c>
      <c r="P3" s="27" t="str">
        <v/>
      </c>
      <c r="Q3" s="27" t="str">
        <v/>
      </c>
      <c r="R3" s="27" t="str">
        <v/>
      </c>
      <c r="S3" s="27" t="str">
        <v/>
      </c>
      <c r="T3" s="27" t="str">
        <v/>
      </c>
      <c r="U3" s="27" t="str">
        <v/>
      </c>
      <c r="V3" s="27" t="str">
        <v/>
      </c>
      <c r="W3" s="27" t="str">
        <v/>
      </c>
      <c r="X3" s="27" t="str">
        <v/>
      </c>
      <c r="Y3" s="27" t="str">
        <v/>
      </c>
      <c r="Z3" s="27" t="str">
        <v/>
      </c>
      <c r="AA3" s="27" t="str">
        <v/>
      </c>
      <c r="AB3" s="27" t="str">
        <v/>
      </c>
      <c r="AC3" s="27" t="str">
        <v/>
      </c>
      <c r="AD3" s="27" t="str">
        <v/>
      </c>
      <c r="AE3" s="27" t="str">
        <v/>
      </c>
      <c r="AF3" s="27" t="str">
        <v/>
      </c>
      <c r="AG3" s="27" t="str">
        <v/>
      </c>
      <c r="AH3" s="27" t="str">
        <v/>
      </c>
      <c r="AI3" s="27" t="str">
        <v/>
      </c>
      <c r="AJ3" s="27" t="str">
        <v/>
      </c>
      <c r="AK3" s="27" t="str">
        <v/>
      </c>
      <c r="AL3" s="27" t="str">
        <v/>
      </c>
      <c r="AM3" s="27" t="str">
        <v/>
      </c>
      <c r="AN3" s="27" t="str">
        <v/>
      </c>
      <c r="AO3" s="27" t="str">
        <v/>
      </c>
      <c r="AP3" s="28">
        <f t="shared" si="0"/>
        <v>10</v>
      </c>
    </row>
    <row r="4" spans="1:42" x14ac:dyDescent="0.2">
      <c r="A4" s="27">
        <v>6</v>
      </c>
      <c r="B4" s="27">
        <v>5</v>
      </c>
      <c r="C4" s="27">
        <v>4</v>
      </c>
      <c r="D4" s="27">
        <v>3</v>
      </c>
      <c r="E4" s="27" t="str">
        <v/>
      </c>
      <c r="F4" s="27" t="str">
        <v/>
      </c>
      <c r="G4" s="27" t="str">
        <v/>
      </c>
      <c r="H4" s="27" t="str">
        <v/>
      </c>
      <c r="I4" s="27" t="str">
        <v/>
      </c>
      <c r="J4" s="27" t="str">
        <v/>
      </c>
      <c r="K4" s="27" t="str">
        <v/>
      </c>
      <c r="L4" s="27" t="str">
        <v/>
      </c>
      <c r="M4" s="27" t="str">
        <v/>
      </c>
      <c r="N4" s="27" t="str">
        <v/>
      </c>
      <c r="O4" s="27" t="str">
        <v/>
      </c>
      <c r="P4" s="27" t="str">
        <v/>
      </c>
      <c r="Q4" s="27" t="str">
        <v/>
      </c>
      <c r="R4" s="27" t="str">
        <v/>
      </c>
      <c r="S4" s="27" t="str">
        <v/>
      </c>
      <c r="T4" s="27" t="str">
        <v/>
      </c>
      <c r="U4" s="27" t="str">
        <v/>
      </c>
      <c r="V4" s="27" t="str">
        <v/>
      </c>
      <c r="W4" s="27" t="str">
        <v/>
      </c>
      <c r="X4" s="27" t="str">
        <v/>
      </c>
      <c r="Y4" s="27" t="str">
        <v/>
      </c>
      <c r="Z4" s="27" t="str">
        <v/>
      </c>
      <c r="AA4" s="27" t="str">
        <v/>
      </c>
      <c r="AB4" s="27" t="str">
        <v/>
      </c>
      <c r="AC4" s="27" t="str">
        <v/>
      </c>
      <c r="AD4" s="27" t="str">
        <v/>
      </c>
      <c r="AE4" s="27" t="str">
        <v/>
      </c>
      <c r="AF4" s="27" t="str">
        <v/>
      </c>
      <c r="AG4" s="27" t="str">
        <v/>
      </c>
      <c r="AH4" s="27" t="str">
        <v/>
      </c>
      <c r="AI4" s="27" t="str">
        <v/>
      </c>
      <c r="AJ4" s="27" t="str">
        <v/>
      </c>
      <c r="AK4" s="27" t="str">
        <v/>
      </c>
      <c r="AL4" s="27" t="str">
        <v/>
      </c>
      <c r="AM4" s="27" t="str">
        <v/>
      </c>
      <c r="AN4" s="27" t="str">
        <v/>
      </c>
      <c r="AO4" s="27" t="str">
        <v/>
      </c>
      <c r="AP4" s="28">
        <f t="shared" si="0"/>
        <v>12</v>
      </c>
    </row>
    <row r="5" spans="1:42" x14ac:dyDescent="0.2">
      <c r="A5" s="27">
        <v>7</v>
      </c>
      <c r="B5" s="27">
        <v>6</v>
      </c>
      <c r="C5" s="27">
        <v>4</v>
      </c>
      <c r="D5" s="27">
        <v>3</v>
      </c>
      <c r="E5" s="27">
        <v>1</v>
      </c>
      <c r="F5" s="27" t="str">
        <v/>
      </c>
      <c r="G5" s="27" t="str">
        <v/>
      </c>
      <c r="H5" s="27" t="str">
        <v/>
      </c>
      <c r="I5" s="27" t="str">
        <v/>
      </c>
      <c r="J5" s="27" t="str">
        <v/>
      </c>
      <c r="K5" s="27" t="str">
        <v/>
      </c>
      <c r="L5" s="27" t="str">
        <v/>
      </c>
      <c r="M5" s="27" t="str">
        <v/>
      </c>
      <c r="N5" s="27" t="str">
        <v/>
      </c>
      <c r="O5" s="27" t="str">
        <v/>
      </c>
      <c r="P5" s="27" t="str">
        <v/>
      </c>
      <c r="Q5" s="27" t="str">
        <v/>
      </c>
      <c r="R5" s="27" t="str">
        <v/>
      </c>
      <c r="S5" s="27" t="str">
        <v/>
      </c>
      <c r="T5" s="27" t="str">
        <v/>
      </c>
      <c r="U5" s="27" t="str">
        <v/>
      </c>
      <c r="V5" s="27" t="str">
        <v/>
      </c>
      <c r="W5" s="27" t="str">
        <v/>
      </c>
      <c r="X5" s="27" t="str">
        <v/>
      </c>
      <c r="Y5" s="27" t="str">
        <v/>
      </c>
      <c r="Z5" s="27" t="str">
        <v/>
      </c>
      <c r="AA5" s="27" t="str">
        <v/>
      </c>
      <c r="AB5" s="27" t="str">
        <v/>
      </c>
      <c r="AC5" s="27" t="str">
        <v/>
      </c>
      <c r="AD5" s="27" t="str">
        <v/>
      </c>
      <c r="AE5" s="27" t="str">
        <v/>
      </c>
      <c r="AF5" s="27" t="str">
        <v/>
      </c>
      <c r="AG5" s="27" t="str">
        <v/>
      </c>
      <c r="AH5" s="27" t="str">
        <v/>
      </c>
      <c r="AI5" s="27" t="str">
        <v/>
      </c>
      <c r="AJ5" s="27" t="str">
        <v/>
      </c>
      <c r="AK5" s="27" t="str">
        <v/>
      </c>
      <c r="AL5" s="27" t="str">
        <v/>
      </c>
      <c r="AM5" s="27" t="str">
        <v/>
      </c>
      <c r="AN5" s="27" t="str">
        <v/>
      </c>
      <c r="AO5" s="27" t="str">
        <v/>
      </c>
      <c r="AP5" s="28">
        <f t="shared" si="0"/>
        <v>14</v>
      </c>
    </row>
    <row r="6" spans="1:42" x14ac:dyDescent="0.2">
      <c r="A6" s="27">
        <v>8</v>
      </c>
      <c r="B6" s="27">
        <v>6</v>
      </c>
      <c r="C6" s="27">
        <v>5</v>
      </c>
      <c r="D6" s="27">
        <v>3</v>
      </c>
      <c r="E6" s="27">
        <v>2</v>
      </c>
      <c r="F6" s="27" t="str">
        <v/>
      </c>
      <c r="G6" s="27" t="str">
        <v/>
      </c>
      <c r="H6" s="27" t="str">
        <v/>
      </c>
      <c r="I6" s="27" t="str">
        <v/>
      </c>
      <c r="J6" s="27" t="str">
        <v/>
      </c>
      <c r="K6" s="27" t="str">
        <v/>
      </c>
      <c r="L6" s="27" t="str">
        <v/>
      </c>
      <c r="M6" s="27" t="str">
        <v/>
      </c>
      <c r="N6" s="27" t="str">
        <v/>
      </c>
      <c r="O6" s="27" t="str">
        <v/>
      </c>
      <c r="P6" s="27" t="str">
        <v/>
      </c>
      <c r="Q6" s="27" t="str">
        <v/>
      </c>
      <c r="R6" s="27" t="str">
        <v/>
      </c>
      <c r="S6" s="27" t="str">
        <v/>
      </c>
      <c r="T6" s="27" t="str">
        <v/>
      </c>
      <c r="U6" s="27" t="str">
        <v/>
      </c>
      <c r="V6" s="27" t="str">
        <v/>
      </c>
      <c r="W6" s="27" t="str">
        <v/>
      </c>
      <c r="X6" s="27" t="str">
        <v/>
      </c>
      <c r="Y6" s="27" t="str">
        <v/>
      </c>
      <c r="Z6" s="27" t="str">
        <v/>
      </c>
      <c r="AA6" s="27" t="str">
        <v/>
      </c>
      <c r="AB6" s="27" t="str">
        <v/>
      </c>
      <c r="AC6" s="27" t="str">
        <v/>
      </c>
      <c r="AD6" s="27" t="str">
        <v/>
      </c>
      <c r="AE6" s="27" t="str">
        <v/>
      </c>
      <c r="AF6" s="27" t="str">
        <v/>
      </c>
      <c r="AG6" s="27" t="str">
        <v/>
      </c>
      <c r="AH6" s="27" t="str">
        <v/>
      </c>
      <c r="AI6" s="27" t="str">
        <v/>
      </c>
      <c r="AJ6" s="27" t="str">
        <v/>
      </c>
      <c r="AK6" s="27" t="str">
        <v/>
      </c>
      <c r="AL6" s="27" t="str">
        <v/>
      </c>
      <c r="AM6" s="27" t="str">
        <v/>
      </c>
      <c r="AN6" s="27" t="str">
        <v/>
      </c>
      <c r="AO6" s="27" t="str">
        <v/>
      </c>
      <c r="AP6" s="28">
        <f t="shared" si="0"/>
        <v>16</v>
      </c>
    </row>
    <row r="7" spans="1:42" x14ac:dyDescent="0.2">
      <c r="A7" s="27">
        <v>9</v>
      </c>
      <c r="B7" s="27">
        <v>6</v>
      </c>
      <c r="C7" s="27">
        <v>5</v>
      </c>
      <c r="D7" s="27">
        <v>4</v>
      </c>
      <c r="E7" s="27">
        <v>2</v>
      </c>
      <c r="F7" s="27">
        <v>1</v>
      </c>
      <c r="G7" s="27" t="str">
        <v/>
      </c>
      <c r="H7" s="27" t="str">
        <v/>
      </c>
      <c r="I7" s="27" t="str">
        <v/>
      </c>
      <c r="J7" s="27" t="str">
        <v/>
      </c>
      <c r="K7" s="27" t="str">
        <v/>
      </c>
      <c r="L7" s="27" t="str">
        <v/>
      </c>
      <c r="M7" s="27" t="str">
        <v/>
      </c>
      <c r="N7" s="27" t="str">
        <v/>
      </c>
      <c r="O7" s="27" t="str">
        <v/>
      </c>
      <c r="P7" s="27" t="str">
        <v/>
      </c>
      <c r="Q7" s="27" t="str">
        <v/>
      </c>
      <c r="R7" s="27" t="str">
        <v/>
      </c>
      <c r="S7" s="27" t="str">
        <v/>
      </c>
      <c r="T7" s="27" t="str">
        <v/>
      </c>
      <c r="U7" s="27" t="str">
        <v/>
      </c>
      <c r="V7" s="27" t="str">
        <v/>
      </c>
      <c r="W7" s="27" t="str">
        <v/>
      </c>
      <c r="X7" s="27" t="str">
        <v/>
      </c>
      <c r="Y7" s="27" t="str">
        <v/>
      </c>
      <c r="Z7" s="27" t="str">
        <v/>
      </c>
      <c r="AA7" s="27" t="str">
        <v/>
      </c>
      <c r="AB7" s="27" t="str">
        <v/>
      </c>
      <c r="AC7" s="27" t="str">
        <v/>
      </c>
      <c r="AD7" s="27" t="str">
        <v/>
      </c>
      <c r="AE7" s="27" t="str">
        <v/>
      </c>
      <c r="AF7" s="27" t="str">
        <v/>
      </c>
      <c r="AG7" s="27" t="str">
        <v/>
      </c>
      <c r="AH7" s="27" t="str">
        <v/>
      </c>
      <c r="AI7" s="27" t="str">
        <v/>
      </c>
      <c r="AJ7" s="27" t="str">
        <v/>
      </c>
      <c r="AK7" s="27" t="str">
        <v/>
      </c>
      <c r="AL7" s="27" t="str">
        <v/>
      </c>
      <c r="AM7" s="27" t="str">
        <v/>
      </c>
      <c r="AN7" s="27" t="str">
        <v/>
      </c>
      <c r="AO7" s="27" t="str">
        <v/>
      </c>
      <c r="AP7" s="28">
        <f t="shared" si="0"/>
        <v>18</v>
      </c>
    </row>
    <row r="8" spans="1:42" x14ac:dyDescent="0.2">
      <c r="A8" s="27">
        <v>10</v>
      </c>
      <c r="B8" s="27">
        <v>6</v>
      </c>
      <c r="C8" s="27">
        <v>5</v>
      </c>
      <c r="D8" s="27">
        <v>4</v>
      </c>
      <c r="E8" s="27">
        <v>3</v>
      </c>
      <c r="F8" s="27">
        <v>2</v>
      </c>
      <c r="G8" s="27" t="str">
        <v/>
      </c>
      <c r="H8" s="27" t="str">
        <v/>
      </c>
      <c r="I8" s="27" t="str">
        <v/>
      </c>
      <c r="J8" s="27" t="str">
        <v/>
      </c>
      <c r="K8" s="27" t="str">
        <v/>
      </c>
      <c r="L8" s="27" t="str">
        <v/>
      </c>
      <c r="M8" s="27" t="str">
        <v/>
      </c>
      <c r="N8" s="27" t="str">
        <v/>
      </c>
      <c r="O8" s="27" t="str">
        <v/>
      </c>
      <c r="P8" s="27" t="str">
        <v/>
      </c>
      <c r="Q8" s="27" t="str">
        <v/>
      </c>
      <c r="R8" s="27" t="str">
        <v/>
      </c>
      <c r="S8" s="27" t="str">
        <v/>
      </c>
      <c r="T8" s="27" t="str">
        <v/>
      </c>
      <c r="U8" s="27" t="str">
        <v/>
      </c>
      <c r="V8" s="27" t="str">
        <v/>
      </c>
      <c r="W8" s="27" t="str">
        <v/>
      </c>
      <c r="X8" s="27" t="str">
        <v/>
      </c>
      <c r="Y8" s="27" t="str">
        <v/>
      </c>
      <c r="Z8" s="27" t="str">
        <v/>
      </c>
      <c r="AA8" s="27" t="str">
        <v/>
      </c>
      <c r="AB8" s="27" t="str">
        <v/>
      </c>
      <c r="AC8" s="27" t="str">
        <v/>
      </c>
      <c r="AD8" s="27" t="str">
        <v/>
      </c>
      <c r="AE8" s="27" t="str">
        <v/>
      </c>
      <c r="AF8" s="27" t="str">
        <v/>
      </c>
      <c r="AG8" s="27" t="str">
        <v/>
      </c>
      <c r="AH8" s="27" t="str">
        <v/>
      </c>
      <c r="AI8" s="27" t="str">
        <v/>
      </c>
      <c r="AJ8" s="27" t="str">
        <v/>
      </c>
      <c r="AK8" s="27" t="str">
        <v/>
      </c>
      <c r="AL8" s="27" t="str">
        <v/>
      </c>
      <c r="AM8" s="27" t="str">
        <v/>
      </c>
      <c r="AN8" s="27" t="str">
        <v/>
      </c>
      <c r="AO8" s="27" t="str">
        <v/>
      </c>
      <c r="AP8" s="28">
        <f t="shared" si="0"/>
        <v>20</v>
      </c>
    </row>
    <row r="9" spans="1:42" x14ac:dyDescent="0.2">
      <c r="A9" s="28">
        <v>11</v>
      </c>
      <c r="B9" s="27">
        <v>6</v>
      </c>
      <c r="C9" s="27">
        <v>5</v>
      </c>
      <c r="D9" s="27">
        <v>4</v>
      </c>
      <c r="E9" s="27">
        <v>3</v>
      </c>
      <c r="F9" s="27">
        <v>3</v>
      </c>
      <c r="G9" s="27">
        <v>1</v>
      </c>
      <c r="H9" s="27" t="str">
        <v/>
      </c>
      <c r="I9" s="27" t="str">
        <v/>
      </c>
      <c r="J9" s="27" t="str">
        <v/>
      </c>
      <c r="K9" s="27" t="str">
        <v/>
      </c>
      <c r="L9" s="27" t="str">
        <v/>
      </c>
      <c r="M9" s="27" t="str">
        <v/>
      </c>
      <c r="N9" s="27" t="str">
        <v/>
      </c>
      <c r="O9" s="27" t="str">
        <v/>
      </c>
      <c r="P9" s="27" t="str">
        <v/>
      </c>
      <c r="Q9" s="27" t="str">
        <v/>
      </c>
      <c r="R9" s="27" t="str">
        <v/>
      </c>
      <c r="S9" s="27" t="str">
        <v/>
      </c>
      <c r="T9" s="27" t="str">
        <v/>
      </c>
      <c r="U9" s="27" t="str">
        <v/>
      </c>
      <c r="V9" s="27" t="str">
        <v/>
      </c>
      <c r="W9" s="27" t="str">
        <v/>
      </c>
      <c r="X9" s="27" t="str">
        <v/>
      </c>
      <c r="Y9" s="27" t="str">
        <v/>
      </c>
      <c r="Z9" s="27" t="str">
        <v/>
      </c>
      <c r="AA9" s="27" t="str">
        <v/>
      </c>
      <c r="AB9" s="27" t="str">
        <v/>
      </c>
      <c r="AC9" s="27" t="str">
        <v/>
      </c>
      <c r="AD9" s="27" t="str">
        <v/>
      </c>
      <c r="AE9" s="27" t="str">
        <v/>
      </c>
      <c r="AF9" s="27" t="str">
        <v/>
      </c>
      <c r="AG9" s="27" t="str">
        <v/>
      </c>
      <c r="AH9" s="27" t="str">
        <v/>
      </c>
      <c r="AI9" s="27" t="str">
        <v/>
      </c>
      <c r="AJ9" s="27" t="str">
        <v/>
      </c>
      <c r="AK9" s="27" t="str">
        <v/>
      </c>
      <c r="AL9" s="27" t="str">
        <v/>
      </c>
      <c r="AM9" s="27" t="str">
        <v/>
      </c>
      <c r="AN9" s="27" t="str">
        <v/>
      </c>
      <c r="AO9" s="27" t="str">
        <v/>
      </c>
      <c r="AP9" s="28">
        <f t="shared" si="0"/>
        <v>22</v>
      </c>
    </row>
    <row r="10" spans="1:42" x14ac:dyDescent="0.2">
      <c r="A10" s="27">
        <v>12</v>
      </c>
      <c r="B10" s="27">
        <v>7</v>
      </c>
      <c r="C10" s="27">
        <v>6</v>
      </c>
      <c r="D10" s="27">
        <v>4</v>
      </c>
      <c r="E10" s="27">
        <v>3</v>
      </c>
      <c r="F10" s="27">
        <v>3</v>
      </c>
      <c r="G10" s="27">
        <v>1</v>
      </c>
      <c r="H10" s="27" t="str">
        <v/>
      </c>
      <c r="I10" s="27" t="str">
        <v/>
      </c>
      <c r="J10" s="27" t="str">
        <v/>
      </c>
      <c r="K10" s="27" t="str">
        <v/>
      </c>
      <c r="L10" s="27" t="str">
        <v/>
      </c>
      <c r="M10" s="27" t="str">
        <v/>
      </c>
      <c r="N10" s="27" t="str">
        <v/>
      </c>
      <c r="O10" s="27" t="str">
        <v/>
      </c>
      <c r="P10" s="27" t="str">
        <v/>
      </c>
      <c r="Q10" s="27" t="str">
        <v/>
      </c>
      <c r="R10" s="27" t="str">
        <v/>
      </c>
      <c r="S10" s="27" t="str">
        <v/>
      </c>
      <c r="T10" s="27" t="str">
        <v/>
      </c>
      <c r="U10" s="27" t="str">
        <v/>
      </c>
      <c r="V10" s="27" t="str">
        <v/>
      </c>
      <c r="W10" s="27" t="str">
        <v/>
      </c>
      <c r="X10" s="27" t="str">
        <v/>
      </c>
      <c r="Y10" s="27" t="str">
        <v/>
      </c>
      <c r="Z10" s="27" t="str">
        <v/>
      </c>
      <c r="AA10" s="27" t="str">
        <v/>
      </c>
      <c r="AB10" s="27" t="str">
        <v/>
      </c>
      <c r="AC10" s="27" t="str">
        <v/>
      </c>
      <c r="AD10" s="27" t="str">
        <v/>
      </c>
      <c r="AE10" s="27" t="str">
        <v/>
      </c>
      <c r="AF10" s="27" t="str">
        <v/>
      </c>
      <c r="AG10" s="27" t="str">
        <v/>
      </c>
      <c r="AH10" s="27" t="str">
        <v/>
      </c>
      <c r="AI10" s="27" t="str">
        <v/>
      </c>
      <c r="AJ10" s="27" t="str">
        <v/>
      </c>
      <c r="AK10" s="27" t="str">
        <v/>
      </c>
      <c r="AL10" s="27" t="str">
        <v/>
      </c>
      <c r="AM10" s="27" t="str">
        <v/>
      </c>
      <c r="AN10" s="27" t="str">
        <v/>
      </c>
      <c r="AO10" s="27" t="str">
        <v/>
      </c>
      <c r="AP10" s="28">
        <f t="shared" si="0"/>
        <v>24</v>
      </c>
    </row>
    <row r="11" spans="1:42" x14ac:dyDescent="0.2">
      <c r="A11" s="28">
        <v>13</v>
      </c>
      <c r="B11" s="27">
        <v>7</v>
      </c>
      <c r="C11" s="27">
        <v>6</v>
      </c>
      <c r="D11" s="27">
        <v>4</v>
      </c>
      <c r="E11" s="27">
        <v>3</v>
      </c>
      <c r="F11" s="27">
        <v>3</v>
      </c>
      <c r="G11" s="27">
        <v>2</v>
      </c>
      <c r="H11" s="27">
        <v>1</v>
      </c>
      <c r="I11" s="27" t="str">
        <v/>
      </c>
      <c r="J11" s="27" t="str">
        <v/>
      </c>
      <c r="K11" s="27" t="str">
        <v/>
      </c>
      <c r="L11" s="27" t="str">
        <v/>
      </c>
      <c r="M11" s="27" t="str">
        <v/>
      </c>
      <c r="N11" s="27" t="str">
        <v/>
      </c>
      <c r="O11" s="27" t="str">
        <v/>
      </c>
      <c r="P11" s="27" t="str">
        <v/>
      </c>
      <c r="Q11" s="27" t="str">
        <v/>
      </c>
      <c r="R11" s="27" t="str">
        <v/>
      </c>
      <c r="S11" s="27" t="str">
        <v/>
      </c>
      <c r="T11" s="27" t="str">
        <v/>
      </c>
      <c r="U11" s="27" t="str">
        <v/>
      </c>
      <c r="V11" s="27" t="str">
        <v/>
      </c>
      <c r="W11" s="27" t="str">
        <v/>
      </c>
      <c r="X11" s="27" t="str">
        <v/>
      </c>
      <c r="Y11" s="27" t="str">
        <v/>
      </c>
      <c r="Z11" s="27" t="str">
        <v/>
      </c>
      <c r="AA11" s="27" t="str">
        <v/>
      </c>
      <c r="AB11" s="27" t="str">
        <v/>
      </c>
      <c r="AC11" s="27" t="str">
        <v/>
      </c>
      <c r="AD11" s="27" t="str">
        <v/>
      </c>
      <c r="AE11" s="27" t="str">
        <v/>
      </c>
      <c r="AF11" s="27" t="str">
        <v/>
      </c>
      <c r="AG11" s="27" t="str">
        <v/>
      </c>
      <c r="AH11" s="27" t="str">
        <v/>
      </c>
      <c r="AI11" s="27" t="str">
        <v/>
      </c>
      <c r="AJ11" s="27" t="str">
        <v/>
      </c>
      <c r="AK11" s="27" t="str">
        <v/>
      </c>
      <c r="AL11" s="27" t="str">
        <v/>
      </c>
      <c r="AM11" s="27" t="str">
        <v/>
      </c>
      <c r="AN11" s="27" t="str">
        <v/>
      </c>
      <c r="AO11" s="27" t="str">
        <v/>
      </c>
      <c r="AP11" s="28">
        <f t="shared" si="0"/>
        <v>26</v>
      </c>
    </row>
    <row r="12" spans="1:42" x14ac:dyDescent="0.2">
      <c r="A12" s="27">
        <v>14</v>
      </c>
      <c r="B12" s="27">
        <v>7</v>
      </c>
      <c r="C12" s="27">
        <v>6</v>
      </c>
      <c r="D12" s="27">
        <v>5</v>
      </c>
      <c r="E12" s="27">
        <v>4</v>
      </c>
      <c r="F12" s="27">
        <v>3</v>
      </c>
      <c r="G12" s="27">
        <v>2</v>
      </c>
      <c r="H12" s="27">
        <v>1</v>
      </c>
      <c r="I12" s="27" t="str">
        <v/>
      </c>
      <c r="J12" s="27" t="str">
        <v/>
      </c>
      <c r="K12" s="27" t="str">
        <v/>
      </c>
      <c r="L12" s="27" t="str">
        <v/>
      </c>
      <c r="M12" s="27" t="str">
        <v/>
      </c>
      <c r="N12" s="27" t="str">
        <v/>
      </c>
      <c r="O12" s="27" t="str">
        <v/>
      </c>
      <c r="P12" s="27" t="str">
        <v/>
      </c>
      <c r="Q12" s="27" t="str">
        <v/>
      </c>
      <c r="R12" s="27" t="str">
        <v/>
      </c>
      <c r="S12" s="27" t="str">
        <v/>
      </c>
      <c r="T12" s="27" t="str">
        <v/>
      </c>
      <c r="U12" s="27" t="str">
        <v/>
      </c>
      <c r="V12" s="27" t="str">
        <v/>
      </c>
      <c r="W12" s="27" t="str">
        <v/>
      </c>
      <c r="X12" s="27" t="str">
        <v/>
      </c>
      <c r="Y12" s="27" t="str">
        <v/>
      </c>
      <c r="Z12" s="27" t="str">
        <v/>
      </c>
      <c r="AA12" s="27" t="str">
        <v/>
      </c>
      <c r="AB12" s="27" t="str">
        <v/>
      </c>
      <c r="AC12" s="27" t="str">
        <v/>
      </c>
      <c r="AD12" s="27" t="str">
        <v/>
      </c>
      <c r="AE12" s="27" t="str">
        <v/>
      </c>
      <c r="AF12" s="27" t="str">
        <v/>
      </c>
      <c r="AG12" s="27" t="str">
        <v/>
      </c>
      <c r="AH12" s="27" t="str">
        <v/>
      </c>
      <c r="AI12" s="27" t="str">
        <v/>
      </c>
      <c r="AJ12" s="27" t="str">
        <v/>
      </c>
      <c r="AK12" s="27" t="str">
        <v/>
      </c>
      <c r="AL12" s="27" t="str">
        <v/>
      </c>
      <c r="AM12" s="27" t="str">
        <v/>
      </c>
      <c r="AN12" s="27" t="str">
        <v/>
      </c>
      <c r="AO12" s="27" t="str">
        <v/>
      </c>
      <c r="AP12" s="28">
        <f t="shared" si="0"/>
        <v>28</v>
      </c>
    </row>
    <row r="13" spans="1:42" x14ac:dyDescent="0.2">
      <c r="A13" s="28">
        <v>15</v>
      </c>
      <c r="B13" s="27">
        <v>7</v>
      </c>
      <c r="C13" s="27">
        <v>6</v>
      </c>
      <c r="D13" s="27">
        <v>5</v>
      </c>
      <c r="E13" s="27">
        <v>4</v>
      </c>
      <c r="F13" s="27">
        <v>3</v>
      </c>
      <c r="G13" s="27">
        <v>3</v>
      </c>
      <c r="H13" s="27">
        <v>1</v>
      </c>
      <c r="I13" s="27">
        <v>1</v>
      </c>
      <c r="J13" s="27" t="str">
        <v/>
      </c>
      <c r="K13" s="27" t="str">
        <v/>
      </c>
      <c r="L13" s="27" t="str">
        <v/>
      </c>
      <c r="M13" s="27" t="str">
        <v/>
      </c>
      <c r="N13" s="27" t="str">
        <v/>
      </c>
      <c r="O13" s="27" t="str">
        <v/>
      </c>
      <c r="P13" s="27" t="str">
        <v/>
      </c>
      <c r="Q13" s="27" t="str">
        <v/>
      </c>
      <c r="R13" s="27" t="str">
        <v/>
      </c>
      <c r="S13" s="27" t="str">
        <v/>
      </c>
      <c r="T13" s="27" t="str">
        <v/>
      </c>
      <c r="U13" s="27" t="str">
        <v/>
      </c>
      <c r="V13" s="27" t="str">
        <v/>
      </c>
      <c r="W13" s="27" t="str">
        <v/>
      </c>
      <c r="X13" s="27" t="str">
        <v/>
      </c>
      <c r="Y13" s="27" t="str">
        <v/>
      </c>
      <c r="Z13" s="27" t="str">
        <v/>
      </c>
      <c r="AA13" s="27" t="str">
        <v/>
      </c>
      <c r="AB13" s="27" t="str">
        <v/>
      </c>
      <c r="AC13" s="27" t="str">
        <v/>
      </c>
      <c r="AD13" s="27" t="str">
        <v/>
      </c>
      <c r="AE13" s="27" t="str">
        <v/>
      </c>
      <c r="AF13" s="27" t="str">
        <v/>
      </c>
      <c r="AG13" s="27" t="str">
        <v/>
      </c>
      <c r="AH13" s="27" t="str">
        <v/>
      </c>
      <c r="AI13" s="27" t="str">
        <v/>
      </c>
      <c r="AJ13" s="27" t="str">
        <v/>
      </c>
      <c r="AK13" s="27" t="str">
        <v/>
      </c>
      <c r="AL13" s="27" t="str">
        <v/>
      </c>
      <c r="AM13" s="27" t="str">
        <v/>
      </c>
      <c r="AN13" s="27" t="str">
        <v/>
      </c>
      <c r="AO13" s="27" t="str">
        <v/>
      </c>
      <c r="AP13" s="28">
        <f t="shared" si="0"/>
        <v>30</v>
      </c>
    </row>
    <row r="14" spans="1:42" x14ac:dyDescent="0.2">
      <c r="A14" s="27">
        <v>16</v>
      </c>
      <c r="B14" s="27">
        <v>8</v>
      </c>
      <c r="C14" s="27">
        <v>7</v>
      </c>
      <c r="D14" s="27">
        <v>5</v>
      </c>
      <c r="E14" s="27">
        <v>4</v>
      </c>
      <c r="F14" s="27">
        <v>3</v>
      </c>
      <c r="G14" s="27">
        <v>3</v>
      </c>
      <c r="H14" s="27">
        <v>1</v>
      </c>
      <c r="I14" s="27">
        <v>1</v>
      </c>
      <c r="J14" s="27" t="str">
        <v/>
      </c>
      <c r="K14" s="27" t="str">
        <v/>
      </c>
      <c r="L14" s="27" t="str">
        <v/>
      </c>
      <c r="M14" s="27" t="str">
        <v/>
      </c>
      <c r="N14" s="27" t="str">
        <v/>
      </c>
      <c r="O14" s="27" t="str">
        <v/>
      </c>
      <c r="P14" s="27" t="str">
        <v/>
      </c>
      <c r="Q14" s="27" t="str">
        <v/>
      </c>
      <c r="R14" s="27" t="str">
        <v/>
      </c>
      <c r="S14" s="27" t="str">
        <v/>
      </c>
      <c r="T14" s="27" t="str">
        <v/>
      </c>
      <c r="U14" s="27" t="str">
        <v/>
      </c>
      <c r="V14" s="27" t="str">
        <v/>
      </c>
      <c r="W14" s="27" t="str">
        <v/>
      </c>
      <c r="X14" s="27" t="str">
        <v/>
      </c>
      <c r="Y14" s="27" t="str">
        <v/>
      </c>
      <c r="Z14" s="27" t="str">
        <v/>
      </c>
      <c r="AA14" s="27" t="str">
        <v/>
      </c>
      <c r="AB14" s="27" t="str">
        <v/>
      </c>
      <c r="AC14" s="27" t="str">
        <v/>
      </c>
      <c r="AD14" s="27" t="str">
        <v/>
      </c>
      <c r="AE14" s="27" t="str">
        <v/>
      </c>
      <c r="AF14" s="27" t="str">
        <v/>
      </c>
      <c r="AG14" s="27" t="str">
        <v/>
      </c>
      <c r="AH14" s="27" t="str">
        <v/>
      </c>
      <c r="AI14" s="27" t="str">
        <v/>
      </c>
      <c r="AJ14" s="27" t="str">
        <v/>
      </c>
      <c r="AK14" s="27" t="str">
        <v/>
      </c>
      <c r="AL14" s="27" t="str">
        <v/>
      </c>
      <c r="AM14" s="27" t="str">
        <v/>
      </c>
      <c r="AN14" s="27" t="str">
        <v/>
      </c>
      <c r="AO14" s="27" t="str">
        <v/>
      </c>
      <c r="AP14" s="28">
        <f t="shared" si="0"/>
        <v>32</v>
      </c>
    </row>
    <row r="15" spans="1:42" x14ac:dyDescent="0.2">
      <c r="A15" s="28">
        <v>17</v>
      </c>
      <c r="B15" s="27">
        <v>8</v>
      </c>
      <c r="C15" s="27">
        <v>7</v>
      </c>
      <c r="D15" s="27">
        <v>5</v>
      </c>
      <c r="E15" s="27">
        <v>4</v>
      </c>
      <c r="F15" s="27">
        <v>3</v>
      </c>
      <c r="G15" s="27">
        <v>3</v>
      </c>
      <c r="H15" s="27">
        <v>2</v>
      </c>
      <c r="I15" s="27">
        <v>1</v>
      </c>
      <c r="J15" s="27">
        <v>1</v>
      </c>
      <c r="K15" s="27" t="str">
        <v/>
      </c>
      <c r="L15" s="27" t="str">
        <v/>
      </c>
      <c r="M15" s="27" t="str">
        <v/>
      </c>
      <c r="N15" s="27" t="str">
        <v/>
      </c>
      <c r="O15" s="27" t="str">
        <v/>
      </c>
      <c r="P15" s="27" t="str">
        <v/>
      </c>
      <c r="Q15" s="27" t="str">
        <v/>
      </c>
      <c r="R15" s="27" t="str">
        <v/>
      </c>
      <c r="S15" s="27" t="str">
        <v/>
      </c>
      <c r="T15" s="27" t="str">
        <v/>
      </c>
      <c r="U15" s="27" t="str">
        <v/>
      </c>
      <c r="V15" s="27" t="str">
        <v/>
      </c>
      <c r="W15" s="27" t="str">
        <v/>
      </c>
      <c r="X15" s="27" t="str">
        <v/>
      </c>
      <c r="Y15" s="27" t="str">
        <v/>
      </c>
      <c r="Z15" s="27" t="str">
        <v/>
      </c>
      <c r="AA15" s="27" t="str">
        <v/>
      </c>
      <c r="AB15" s="27" t="str">
        <v/>
      </c>
      <c r="AC15" s="27" t="str">
        <v/>
      </c>
      <c r="AD15" s="27" t="str">
        <v/>
      </c>
      <c r="AE15" s="27" t="str">
        <v/>
      </c>
      <c r="AF15" s="27" t="str">
        <v/>
      </c>
      <c r="AG15" s="27" t="str">
        <v/>
      </c>
      <c r="AH15" s="27" t="str">
        <v/>
      </c>
      <c r="AI15" s="27" t="str">
        <v/>
      </c>
      <c r="AJ15" s="27" t="str">
        <v/>
      </c>
      <c r="AK15" s="27" t="str">
        <v/>
      </c>
      <c r="AL15" s="27" t="str">
        <v/>
      </c>
      <c r="AM15" s="27" t="str">
        <v/>
      </c>
      <c r="AN15" s="27" t="str">
        <v/>
      </c>
      <c r="AO15" s="27" t="str">
        <v/>
      </c>
      <c r="AP15" s="28">
        <f t="shared" si="0"/>
        <v>34</v>
      </c>
    </row>
    <row r="16" spans="1:42" x14ac:dyDescent="0.2">
      <c r="A16" s="27">
        <v>18</v>
      </c>
      <c r="B16" s="27">
        <v>8</v>
      </c>
      <c r="C16" s="27">
        <v>7</v>
      </c>
      <c r="D16" s="27">
        <v>5</v>
      </c>
      <c r="E16" s="27">
        <v>5</v>
      </c>
      <c r="F16" s="27">
        <v>4</v>
      </c>
      <c r="G16" s="27">
        <v>3</v>
      </c>
      <c r="H16" s="27">
        <v>2</v>
      </c>
      <c r="I16" s="27">
        <v>1</v>
      </c>
      <c r="J16" s="27">
        <v>1</v>
      </c>
      <c r="K16" s="27" t="str">
        <v/>
      </c>
      <c r="L16" s="27" t="str">
        <v/>
      </c>
      <c r="M16" s="27" t="str">
        <v/>
      </c>
      <c r="N16" s="27" t="str">
        <v/>
      </c>
      <c r="O16" s="27" t="str">
        <v/>
      </c>
      <c r="P16" s="27" t="str">
        <v/>
      </c>
      <c r="Q16" s="27" t="str">
        <v/>
      </c>
      <c r="R16" s="27" t="str">
        <v/>
      </c>
      <c r="S16" s="27" t="str">
        <v/>
      </c>
      <c r="T16" s="27" t="str">
        <v/>
      </c>
      <c r="U16" s="27" t="str">
        <v/>
      </c>
      <c r="V16" s="27" t="str">
        <v/>
      </c>
      <c r="W16" s="27" t="str">
        <v/>
      </c>
      <c r="X16" s="27" t="str">
        <v/>
      </c>
      <c r="Y16" s="27" t="str">
        <v/>
      </c>
      <c r="Z16" s="27" t="str">
        <v/>
      </c>
      <c r="AA16" s="27" t="str">
        <v/>
      </c>
      <c r="AB16" s="27" t="str">
        <v/>
      </c>
      <c r="AC16" s="27" t="str">
        <v/>
      </c>
      <c r="AD16" s="27" t="str">
        <v/>
      </c>
      <c r="AE16" s="27" t="str">
        <v/>
      </c>
      <c r="AF16" s="27" t="str">
        <v/>
      </c>
      <c r="AG16" s="27" t="str">
        <v/>
      </c>
      <c r="AH16" s="27" t="str">
        <v/>
      </c>
      <c r="AI16" s="27" t="str">
        <v/>
      </c>
      <c r="AJ16" s="27" t="str">
        <v/>
      </c>
      <c r="AK16" s="27" t="str">
        <v/>
      </c>
      <c r="AL16" s="27" t="str">
        <v/>
      </c>
      <c r="AM16" s="27" t="str">
        <v/>
      </c>
      <c r="AN16" s="27" t="str">
        <v/>
      </c>
      <c r="AO16" s="27" t="str">
        <v/>
      </c>
      <c r="AP16" s="28">
        <f t="shared" si="0"/>
        <v>36</v>
      </c>
    </row>
    <row r="17" spans="1:42" x14ac:dyDescent="0.2">
      <c r="A17" s="28">
        <v>19</v>
      </c>
      <c r="B17" s="27">
        <v>8</v>
      </c>
      <c r="C17" s="27">
        <v>7</v>
      </c>
      <c r="D17" s="27">
        <v>6</v>
      </c>
      <c r="E17" s="27">
        <v>5</v>
      </c>
      <c r="F17" s="27">
        <v>4</v>
      </c>
      <c r="G17" s="27">
        <v>3</v>
      </c>
      <c r="H17" s="27">
        <v>2</v>
      </c>
      <c r="I17" s="27">
        <v>1</v>
      </c>
      <c r="J17" s="27">
        <v>1</v>
      </c>
      <c r="K17" s="27">
        <v>1</v>
      </c>
      <c r="L17" s="27" t="str">
        <v/>
      </c>
      <c r="M17" s="27" t="str">
        <v/>
      </c>
      <c r="N17" s="27" t="str">
        <v/>
      </c>
      <c r="O17" s="27" t="str">
        <v/>
      </c>
      <c r="P17" s="27" t="str">
        <v/>
      </c>
      <c r="Q17" s="27" t="str">
        <v/>
      </c>
      <c r="R17" s="27" t="str">
        <v/>
      </c>
      <c r="S17" s="27" t="str">
        <v/>
      </c>
      <c r="T17" s="27" t="str">
        <v/>
      </c>
      <c r="U17" s="27" t="str">
        <v/>
      </c>
      <c r="V17" s="27" t="str">
        <v/>
      </c>
      <c r="W17" s="27" t="str">
        <v/>
      </c>
      <c r="X17" s="27" t="str">
        <v/>
      </c>
      <c r="Y17" s="27" t="str">
        <v/>
      </c>
      <c r="Z17" s="27" t="str">
        <v/>
      </c>
      <c r="AA17" s="27" t="str">
        <v/>
      </c>
      <c r="AB17" s="27" t="str">
        <v/>
      </c>
      <c r="AC17" s="27" t="str">
        <v/>
      </c>
      <c r="AD17" s="27" t="str">
        <v/>
      </c>
      <c r="AE17" s="27" t="str">
        <v/>
      </c>
      <c r="AF17" s="27" t="str">
        <v/>
      </c>
      <c r="AG17" s="27" t="str">
        <v/>
      </c>
      <c r="AH17" s="27" t="str">
        <v/>
      </c>
      <c r="AI17" s="27" t="str">
        <v/>
      </c>
      <c r="AJ17" s="27" t="str">
        <v/>
      </c>
      <c r="AK17" s="27" t="str">
        <v/>
      </c>
      <c r="AL17" s="27" t="str">
        <v/>
      </c>
      <c r="AM17" s="27" t="str">
        <v/>
      </c>
      <c r="AN17" s="27" t="str">
        <v/>
      </c>
      <c r="AO17" s="27" t="str">
        <v/>
      </c>
      <c r="AP17" s="28">
        <f t="shared" si="0"/>
        <v>38</v>
      </c>
    </row>
    <row r="18" spans="1:42" x14ac:dyDescent="0.2">
      <c r="A18" s="27">
        <v>20</v>
      </c>
      <c r="B18" s="27">
        <v>8</v>
      </c>
      <c r="C18" s="27">
        <v>7</v>
      </c>
      <c r="D18" s="27">
        <v>6</v>
      </c>
      <c r="E18" s="27">
        <v>5</v>
      </c>
      <c r="F18" s="27">
        <v>4</v>
      </c>
      <c r="G18" s="27">
        <v>3</v>
      </c>
      <c r="H18" s="27">
        <v>3</v>
      </c>
      <c r="I18" s="27">
        <v>2</v>
      </c>
      <c r="J18" s="27">
        <v>1</v>
      </c>
      <c r="K18" s="27">
        <v>1</v>
      </c>
      <c r="L18" s="27" t="str">
        <v/>
      </c>
      <c r="M18" s="27" t="str">
        <v/>
      </c>
      <c r="N18" s="27" t="str">
        <v/>
      </c>
      <c r="O18" s="27" t="str">
        <v/>
      </c>
      <c r="P18" s="27" t="str">
        <v/>
      </c>
      <c r="Q18" s="27" t="str">
        <v/>
      </c>
      <c r="R18" s="27" t="str">
        <v/>
      </c>
      <c r="S18" s="27" t="str">
        <v/>
      </c>
      <c r="T18" s="27" t="str">
        <v/>
      </c>
      <c r="U18" s="27" t="str">
        <v/>
      </c>
      <c r="V18" s="27" t="str">
        <v/>
      </c>
      <c r="W18" s="27" t="str">
        <v/>
      </c>
      <c r="X18" s="27" t="str">
        <v/>
      </c>
      <c r="Y18" s="27" t="str">
        <v/>
      </c>
      <c r="Z18" s="27" t="str">
        <v/>
      </c>
      <c r="AA18" s="27" t="str">
        <v/>
      </c>
      <c r="AB18" s="27" t="str">
        <v/>
      </c>
      <c r="AC18" s="27" t="str">
        <v/>
      </c>
      <c r="AD18" s="27" t="str">
        <v/>
      </c>
      <c r="AE18" s="27" t="str">
        <v/>
      </c>
      <c r="AF18" s="27" t="str">
        <v/>
      </c>
      <c r="AG18" s="27" t="str">
        <v/>
      </c>
      <c r="AH18" s="27" t="str">
        <v/>
      </c>
      <c r="AI18" s="27" t="str">
        <v/>
      </c>
      <c r="AJ18" s="27" t="str">
        <v/>
      </c>
      <c r="AK18" s="27" t="str">
        <v/>
      </c>
      <c r="AL18" s="27" t="str">
        <v/>
      </c>
      <c r="AM18" s="27" t="str">
        <v/>
      </c>
      <c r="AN18" s="27" t="str">
        <v/>
      </c>
      <c r="AO18" s="27" t="str">
        <v/>
      </c>
      <c r="AP18" s="28">
        <f t="shared" si="0"/>
        <v>40</v>
      </c>
    </row>
    <row r="19" spans="1:42" x14ac:dyDescent="0.2">
      <c r="A19" s="28">
        <v>21</v>
      </c>
      <c r="B19" s="27">
        <v>8</v>
      </c>
      <c r="C19" s="27">
        <v>7</v>
      </c>
      <c r="D19" s="27">
        <v>6</v>
      </c>
      <c r="E19" s="27">
        <v>5</v>
      </c>
      <c r="F19" s="27">
        <v>4</v>
      </c>
      <c r="G19" s="27">
        <v>4</v>
      </c>
      <c r="H19" s="27">
        <v>3</v>
      </c>
      <c r="I19" s="27">
        <v>2</v>
      </c>
      <c r="J19" s="27">
        <v>1</v>
      </c>
      <c r="K19" s="27">
        <v>1</v>
      </c>
      <c r="L19" s="27">
        <v>1</v>
      </c>
      <c r="M19" s="27" t="str">
        <v/>
      </c>
      <c r="N19" s="27" t="str">
        <v/>
      </c>
      <c r="O19" s="27" t="str">
        <v/>
      </c>
      <c r="P19" s="27" t="str">
        <v/>
      </c>
      <c r="Q19" s="27" t="str">
        <v/>
      </c>
      <c r="R19" s="27" t="str">
        <v/>
      </c>
      <c r="S19" s="27" t="str">
        <v/>
      </c>
      <c r="T19" s="27" t="str">
        <v/>
      </c>
      <c r="U19" s="27" t="str">
        <v/>
      </c>
      <c r="V19" s="27" t="str">
        <v/>
      </c>
      <c r="W19" s="27" t="str">
        <v/>
      </c>
      <c r="X19" s="27" t="str">
        <v/>
      </c>
      <c r="Y19" s="27" t="str">
        <v/>
      </c>
      <c r="Z19" s="27" t="str">
        <v/>
      </c>
      <c r="AA19" s="27" t="str">
        <v/>
      </c>
      <c r="AB19" s="27" t="str">
        <v/>
      </c>
      <c r="AC19" s="27" t="str">
        <v/>
      </c>
      <c r="AD19" s="27" t="str">
        <v/>
      </c>
      <c r="AE19" s="27" t="str">
        <v/>
      </c>
      <c r="AF19" s="27" t="str">
        <v/>
      </c>
      <c r="AG19" s="27" t="str">
        <v/>
      </c>
      <c r="AH19" s="27" t="str">
        <v/>
      </c>
      <c r="AI19" s="27" t="str">
        <v/>
      </c>
      <c r="AJ19" s="27" t="str">
        <v/>
      </c>
      <c r="AK19" s="27" t="str">
        <v/>
      </c>
      <c r="AL19" s="27" t="str">
        <v/>
      </c>
      <c r="AM19" s="27" t="str">
        <v/>
      </c>
      <c r="AN19" s="27" t="str">
        <v/>
      </c>
      <c r="AO19" s="27" t="str">
        <v/>
      </c>
      <c r="AP19" s="28">
        <f t="shared" si="0"/>
        <v>42</v>
      </c>
    </row>
    <row r="20" spans="1:42" x14ac:dyDescent="0.2">
      <c r="A20" s="27">
        <v>22</v>
      </c>
      <c r="B20" s="27">
        <v>8</v>
      </c>
      <c r="C20" s="27">
        <v>7</v>
      </c>
      <c r="D20" s="27">
        <v>6</v>
      </c>
      <c r="E20" s="27">
        <v>5</v>
      </c>
      <c r="F20" s="27">
        <v>4</v>
      </c>
      <c r="G20" s="27">
        <v>4</v>
      </c>
      <c r="H20" s="27">
        <v>3</v>
      </c>
      <c r="I20" s="27">
        <v>3</v>
      </c>
      <c r="J20" s="27">
        <v>2</v>
      </c>
      <c r="K20" s="27">
        <v>1</v>
      </c>
      <c r="L20" s="27">
        <v>1</v>
      </c>
      <c r="M20" s="27" t="str">
        <v/>
      </c>
      <c r="N20" s="27" t="str">
        <v/>
      </c>
      <c r="O20" s="27" t="str">
        <v/>
      </c>
      <c r="P20" s="27" t="str">
        <v/>
      </c>
      <c r="Q20" s="27" t="str">
        <v/>
      </c>
      <c r="R20" s="27" t="str">
        <v/>
      </c>
      <c r="S20" s="27" t="str">
        <v/>
      </c>
      <c r="T20" s="27" t="str">
        <v/>
      </c>
      <c r="U20" s="27" t="str">
        <v/>
      </c>
      <c r="V20" s="27" t="str">
        <v/>
      </c>
      <c r="W20" s="27" t="str">
        <v/>
      </c>
      <c r="X20" s="27" t="str">
        <v/>
      </c>
      <c r="Y20" s="27" t="str">
        <v/>
      </c>
      <c r="Z20" s="27" t="str">
        <v/>
      </c>
      <c r="AA20" s="27" t="str">
        <v/>
      </c>
      <c r="AB20" s="27" t="str">
        <v/>
      </c>
      <c r="AC20" s="27" t="str">
        <v/>
      </c>
      <c r="AD20" s="27" t="str">
        <v/>
      </c>
      <c r="AE20" s="27" t="str">
        <v/>
      </c>
      <c r="AF20" s="27" t="str">
        <v/>
      </c>
      <c r="AG20" s="27" t="str">
        <v/>
      </c>
      <c r="AH20" s="27" t="str">
        <v/>
      </c>
      <c r="AI20" s="27" t="str">
        <v/>
      </c>
      <c r="AJ20" s="27" t="str">
        <v/>
      </c>
      <c r="AK20" s="27" t="str">
        <v/>
      </c>
      <c r="AL20" s="27" t="str">
        <v/>
      </c>
      <c r="AM20" s="27" t="str">
        <v/>
      </c>
      <c r="AN20" s="27" t="str">
        <v/>
      </c>
      <c r="AO20" s="27" t="str">
        <v/>
      </c>
      <c r="AP20" s="28">
        <f t="shared" si="0"/>
        <v>44</v>
      </c>
    </row>
    <row r="21" spans="1:42" x14ac:dyDescent="0.2">
      <c r="A21" s="28">
        <v>23</v>
      </c>
      <c r="B21" s="27">
        <v>8</v>
      </c>
      <c r="C21" s="27">
        <v>7</v>
      </c>
      <c r="D21" s="27">
        <v>6</v>
      </c>
      <c r="E21" s="27">
        <v>5</v>
      </c>
      <c r="F21" s="27">
        <v>5</v>
      </c>
      <c r="G21" s="27">
        <v>4</v>
      </c>
      <c r="H21" s="27">
        <v>3</v>
      </c>
      <c r="I21" s="27">
        <v>3</v>
      </c>
      <c r="J21" s="27">
        <v>2</v>
      </c>
      <c r="K21" s="27">
        <v>1</v>
      </c>
      <c r="L21" s="27">
        <v>1</v>
      </c>
      <c r="M21" s="27">
        <v>1</v>
      </c>
      <c r="N21" s="27" t="str">
        <v/>
      </c>
      <c r="O21" s="27" t="str">
        <v/>
      </c>
      <c r="P21" s="27" t="str">
        <v/>
      </c>
      <c r="Q21" s="27" t="str">
        <v/>
      </c>
      <c r="R21" s="27" t="str">
        <v/>
      </c>
      <c r="S21" s="27" t="str">
        <v/>
      </c>
      <c r="T21" s="27" t="str">
        <v/>
      </c>
      <c r="U21" s="27" t="str">
        <v/>
      </c>
      <c r="V21" s="27" t="str">
        <v/>
      </c>
      <c r="W21" s="27" t="str">
        <v/>
      </c>
      <c r="X21" s="27" t="str">
        <v/>
      </c>
      <c r="Y21" s="27" t="str">
        <v/>
      </c>
      <c r="Z21" s="27" t="str">
        <v/>
      </c>
      <c r="AA21" s="27" t="str">
        <v/>
      </c>
      <c r="AB21" s="27" t="str">
        <v/>
      </c>
      <c r="AC21" s="27" t="str">
        <v/>
      </c>
      <c r="AD21" s="27" t="str">
        <v/>
      </c>
      <c r="AE21" s="27" t="str">
        <v/>
      </c>
      <c r="AF21" s="27" t="str">
        <v/>
      </c>
      <c r="AG21" s="27" t="str">
        <v/>
      </c>
      <c r="AH21" s="27" t="str">
        <v/>
      </c>
      <c r="AI21" s="27" t="str">
        <v/>
      </c>
      <c r="AJ21" s="27" t="str">
        <v/>
      </c>
      <c r="AK21" s="27" t="str">
        <v/>
      </c>
      <c r="AL21" s="27" t="str">
        <v/>
      </c>
      <c r="AM21" s="27" t="str">
        <v/>
      </c>
      <c r="AN21" s="27" t="str">
        <v/>
      </c>
      <c r="AO21" s="27" t="str">
        <v/>
      </c>
      <c r="AP21" s="28">
        <f t="shared" si="0"/>
        <v>46</v>
      </c>
    </row>
    <row r="22" spans="1:42" x14ac:dyDescent="0.2">
      <c r="A22" s="27">
        <v>24</v>
      </c>
      <c r="B22" s="27">
        <v>8</v>
      </c>
      <c r="C22" s="27">
        <v>7</v>
      </c>
      <c r="D22" s="27">
        <v>7</v>
      </c>
      <c r="E22" s="27">
        <v>6</v>
      </c>
      <c r="F22" s="27">
        <v>5</v>
      </c>
      <c r="G22" s="27">
        <v>4</v>
      </c>
      <c r="H22" s="27">
        <v>3</v>
      </c>
      <c r="I22" s="27">
        <v>3</v>
      </c>
      <c r="J22" s="27">
        <v>2</v>
      </c>
      <c r="K22" s="27">
        <v>1</v>
      </c>
      <c r="L22" s="27">
        <v>1</v>
      </c>
      <c r="M22" s="27">
        <v>1</v>
      </c>
      <c r="N22" s="27" t="str">
        <v/>
      </c>
      <c r="O22" s="27" t="str">
        <v/>
      </c>
      <c r="P22" s="27" t="str">
        <v/>
      </c>
      <c r="Q22" s="27" t="str">
        <v/>
      </c>
      <c r="R22" s="27" t="str">
        <v/>
      </c>
      <c r="S22" s="27" t="str">
        <v/>
      </c>
      <c r="T22" s="27" t="str">
        <v/>
      </c>
      <c r="U22" s="27" t="str">
        <v/>
      </c>
      <c r="V22" s="27" t="str">
        <v/>
      </c>
      <c r="W22" s="27" t="str">
        <v/>
      </c>
      <c r="X22" s="27" t="str">
        <v/>
      </c>
      <c r="Y22" s="27" t="str">
        <v/>
      </c>
      <c r="Z22" s="27" t="str">
        <v/>
      </c>
      <c r="AA22" s="27" t="str">
        <v/>
      </c>
      <c r="AB22" s="27" t="str">
        <v/>
      </c>
      <c r="AC22" s="27" t="str">
        <v/>
      </c>
      <c r="AD22" s="27" t="str">
        <v/>
      </c>
      <c r="AE22" s="27" t="str">
        <v/>
      </c>
      <c r="AF22" s="27" t="str">
        <v/>
      </c>
      <c r="AG22" s="27" t="str">
        <v/>
      </c>
      <c r="AH22" s="27" t="str">
        <v/>
      </c>
      <c r="AI22" s="27" t="str">
        <v/>
      </c>
      <c r="AJ22" s="27" t="str">
        <v/>
      </c>
      <c r="AK22" s="27" t="str">
        <v/>
      </c>
      <c r="AL22" s="27" t="str">
        <v/>
      </c>
      <c r="AM22" s="27" t="str">
        <v/>
      </c>
      <c r="AN22" s="27" t="str">
        <v/>
      </c>
      <c r="AO22" s="27" t="str">
        <v/>
      </c>
      <c r="AP22" s="28">
        <f t="shared" si="0"/>
        <v>48</v>
      </c>
    </row>
    <row r="23" spans="1:42" x14ac:dyDescent="0.2">
      <c r="A23" s="28">
        <v>25</v>
      </c>
      <c r="B23" s="27">
        <v>8</v>
      </c>
      <c r="C23" s="27">
        <v>7</v>
      </c>
      <c r="D23" s="27">
        <v>7</v>
      </c>
      <c r="E23" s="27">
        <v>6</v>
      </c>
      <c r="F23" s="27">
        <v>5</v>
      </c>
      <c r="G23" s="27">
        <v>4</v>
      </c>
      <c r="H23" s="27">
        <v>4</v>
      </c>
      <c r="I23" s="27">
        <v>3</v>
      </c>
      <c r="J23" s="27">
        <v>2</v>
      </c>
      <c r="K23" s="27">
        <v>1</v>
      </c>
      <c r="L23" s="27">
        <v>1</v>
      </c>
      <c r="M23" s="27">
        <v>1</v>
      </c>
      <c r="N23" s="27">
        <v>1</v>
      </c>
      <c r="O23" s="27" t="str">
        <v/>
      </c>
      <c r="P23" s="27" t="str">
        <v/>
      </c>
      <c r="Q23" s="27" t="str">
        <v/>
      </c>
      <c r="R23" s="27" t="str">
        <v/>
      </c>
      <c r="S23" s="27" t="str">
        <v/>
      </c>
      <c r="T23" s="27" t="str">
        <v/>
      </c>
      <c r="U23" s="27" t="str">
        <v/>
      </c>
      <c r="V23" s="27" t="str">
        <v/>
      </c>
      <c r="W23" s="27" t="str">
        <v/>
      </c>
      <c r="X23" s="27" t="str">
        <v/>
      </c>
      <c r="Y23" s="27" t="str">
        <v/>
      </c>
      <c r="Z23" s="27" t="str">
        <v/>
      </c>
      <c r="AA23" s="27" t="str">
        <v/>
      </c>
      <c r="AB23" s="27" t="str">
        <v/>
      </c>
      <c r="AC23" s="27" t="str">
        <v/>
      </c>
      <c r="AD23" s="27" t="str">
        <v/>
      </c>
      <c r="AE23" s="27" t="str">
        <v/>
      </c>
      <c r="AF23" s="27" t="str">
        <v/>
      </c>
      <c r="AG23" s="27" t="str">
        <v/>
      </c>
      <c r="AH23" s="27" t="str">
        <v/>
      </c>
      <c r="AI23" s="27" t="str">
        <v/>
      </c>
      <c r="AJ23" s="27" t="str">
        <v/>
      </c>
      <c r="AK23" s="27" t="str">
        <v/>
      </c>
      <c r="AL23" s="27" t="str">
        <v/>
      </c>
      <c r="AM23" s="27" t="str">
        <v/>
      </c>
      <c r="AN23" s="27" t="str">
        <v/>
      </c>
      <c r="AO23" s="27" t="str">
        <v/>
      </c>
      <c r="AP23" s="28">
        <f t="shared" si="0"/>
        <v>50</v>
      </c>
    </row>
    <row r="24" spans="1:42" x14ac:dyDescent="0.2">
      <c r="A24" s="27">
        <v>26</v>
      </c>
      <c r="B24" s="27">
        <v>9</v>
      </c>
      <c r="C24" s="27">
        <v>8</v>
      </c>
      <c r="D24" s="27">
        <v>7</v>
      </c>
      <c r="E24" s="27">
        <v>6</v>
      </c>
      <c r="F24" s="27">
        <v>5</v>
      </c>
      <c r="G24" s="27">
        <v>4</v>
      </c>
      <c r="H24" s="27">
        <v>4</v>
      </c>
      <c r="I24" s="27">
        <v>3</v>
      </c>
      <c r="J24" s="27">
        <v>2</v>
      </c>
      <c r="K24" s="27">
        <v>1</v>
      </c>
      <c r="L24" s="27">
        <v>1</v>
      </c>
      <c r="M24" s="27">
        <v>1</v>
      </c>
      <c r="N24" s="27">
        <v>1</v>
      </c>
      <c r="O24" s="27" t="str">
        <v/>
      </c>
      <c r="P24" s="27" t="str">
        <v/>
      </c>
      <c r="Q24" s="27" t="str">
        <v/>
      </c>
      <c r="R24" s="27" t="str">
        <v/>
      </c>
      <c r="S24" s="27" t="str">
        <v/>
      </c>
      <c r="T24" s="27" t="str">
        <v/>
      </c>
      <c r="U24" s="27" t="str">
        <v/>
      </c>
      <c r="V24" s="27" t="str">
        <v/>
      </c>
      <c r="W24" s="27" t="str">
        <v/>
      </c>
      <c r="X24" s="27" t="str">
        <v/>
      </c>
      <c r="Y24" s="27" t="str">
        <v/>
      </c>
      <c r="Z24" s="27" t="str">
        <v/>
      </c>
      <c r="AA24" s="27" t="str">
        <v/>
      </c>
      <c r="AB24" s="27" t="str">
        <v/>
      </c>
      <c r="AC24" s="27" t="str">
        <v/>
      </c>
      <c r="AD24" s="27" t="str">
        <v/>
      </c>
      <c r="AE24" s="27" t="str">
        <v/>
      </c>
      <c r="AF24" s="27" t="str">
        <v/>
      </c>
      <c r="AG24" s="27" t="str">
        <v/>
      </c>
      <c r="AH24" s="27" t="str">
        <v/>
      </c>
      <c r="AI24" s="27" t="str">
        <v/>
      </c>
      <c r="AJ24" s="27" t="str">
        <v/>
      </c>
      <c r="AK24" s="27" t="str">
        <v/>
      </c>
      <c r="AL24" s="27" t="str">
        <v/>
      </c>
      <c r="AM24" s="27" t="str">
        <v/>
      </c>
      <c r="AN24" s="27" t="str">
        <v/>
      </c>
      <c r="AO24" s="27" t="str">
        <v/>
      </c>
      <c r="AP24" s="28">
        <f t="shared" si="0"/>
        <v>52</v>
      </c>
    </row>
    <row r="25" spans="1:42" x14ac:dyDescent="0.2">
      <c r="A25" s="28">
        <v>27</v>
      </c>
      <c r="B25" s="27">
        <v>9</v>
      </c>
      <c r="C25" s="27">
        <v>8</v>
      </c>
      <c r="D25" s="27">
        <v>7</v>
      </c>
      <c r="E25" s="27">
        <v>6</v>
      </c>
      <c r="F25" s="27">
        <v>5</v>
      </c>
      <c r="G25" s="27">
        <v>4</v>
      </c>
      <c r="H25" s="27">
        <v>4</v>
      </c>
      <c r="I25" s="27">
        <v>3</v>
      </c>
      <c r="J25" s="27">
        <v>2</v>
      </c>
      <c r="K25" s="27">
        <v>2</v>
      </c>
      <c r="L25" s="27">
        <v>1</v>
      </c>
      <c r="M25" s="27">
        <v>1</v>
      </c>
      <c r="N25" s="27">
        <v>1</v>
      </c>
      <c r="O25" s="27">
        <v>1</v>
      </c>
      <c r="P25" s="27" t="str">
        <v/>
      </c>
      <c r="Q25" s="27" t="str">
        <v/>
      </c>
      <c r="R25" s="27" t="str">
        <v/>
      </c>
      <c r="S25" s="27" t="str">
        <v/>
      </c>
      <c r="T25" s="27" t="str">
        <v/>
      </c>
      <c r="U25" s="27" t="str">
        <v/>
      </c>
      <c r="V25" s="27" t="str">
        <v/>
      </c>
      <c r="W25" s="27" t="str">
        <v/>
      </c>
      <c r="X25" s="27" t="str">
        <v/>
      </c>
      <c r="Y25" s="27" t="str">
        <v/>
      </c>
      <c r="Z25" s="27" t="str">
        <v/>
      </c>
      <c r="AA25" s="27" t="str">
        <v/>
      </c>
      <c r="AB25" s="27" t="str">
        <v/>
      </c>
      <c r="AC25" s="27" t="str">
        <v/>
      </c>
      <c r="AD25" s="27" t="str">
        <v/>
      </c>
      <c r="AE25" s="27" t="str">
        <v/>
      </c>
      <c r="AF25" s="27" t="str">
        <v/>
      </c>
      <c r="AG25" s="27" t="str">
        <v/>
      </c>
      <c r="AH25" s="27" t="str">
        <v/>
      </c>
      <c r="AI25" s="27" t="str">
        <v/>
      </c>
      <c r="AJ25" s="27" t="str">
        <v/>
      </c>
      <c r="AK25" s="27" t="str">
        <v/>
      </c>
      <c r="AL25" s="27" t="str">
        <v/>
      </c>
      <c r="AM25" s="27" t="str">
        <v/>
      </c>
      <c r="AN25" s="27" t="str">
        <v/>
      </c>
      <c r="AO25" s="27" t="str">
        <v/>
      </c>
      <c r="AP25" s="28">
        <f t="shared" si="0"/>
        <v>54</v>
      </c>
    </row>
    <row r="26" spans="1:42" x14ac:dyDescent="0.2">
      <c r="A26" s="27">
        <v>28</v>
      </c>
      <c r="B26" s="27">
        <v>9</v>
      </c>
      <c r="C26" s="27">
        <v>8</v>
      </c>
      <c r="D26" s="27">
        <v>7</v>
      </c>
      <c r="E26" s="27">
        <v>6</v>
      </c>
      <c r="F26" s="27">
        <v>6</v>
      </c>
      <c r="G26" s="27">
        <v>5</v>
      </c>
      <c r="H26" s="27">
        <v>4</v>
      </c>
      <c r="I26" s="27">
        <v>3</v>
      </c>
      <c r="J26" s="27">
        <v>2</v>
      </c>
      <c r="K26" s="27">
        <v>2</v>
      </c>
      <c r="L26" s="27">
        <v>1</v>
      </c>
      <c r="M26" s="27">
        <v>1</v>
      </c>
      <c r="N26" s="27">
        <v>1</v>
      </c>
      <c r="O26" s="27">
        <v>1</v>
      </c>
      <c r="P26" s="27" t="str">
        <v/>
      </c>
      <c r="Q26" s="27" t="str">
        <v/>
      </c>
      <c r="R26" s="27" t="str">
        <v/>
      </c>
      <c r="S26" s="27" t="str">
        <v/>
      </c>
      <c r="T26" s="27" t="str">
        <v/>
      </c>
      <c r="U26" s="27" t="str">
        <v/>
      </c>
      <c r="V26" s="27" t="str">
        <v/>
      </c>
      <c r="W26" s="27" t="str">
        <v/>
      </c>
      <c r="X26" s="27" t="str">
        <v/>
      </c>
      <c r="Y26" s="27" t="str">
        <v/>
      </c>
      <c r="Z26" s="27" t="str">
        <v/>
      </c>
      <c r="AA26" s="27" t="str">
        <v/>
      </c>
      <c r="AB26" s="27" t="str">
        <v/>
      </c>
      <c r="AC26" s="27" t="str">
        <v/>
      </c>
      <c r="AD26" s="27" t="str">
        <v/>
      </c>
      <c r="AE26" s="27" t="str">
        <v/>
      </c>
      <c r="AF26" s="27" t="str">
        <v/>
      </c>
      <c r="AG26" s="27" t="str">
        <v/>
      </c>
      <c r="AH26" s="27" t="str">
        <v/>
      </c>
      <c r="AI26" s="27" t="str">
        <v/>
      </c>
      <c r="AJ26" s="27" t="str">
        <v/>
      </c>
      <c r="AK26" s="27" t="str">
        <v/>
      </c>
      <c r="AL26" s="27" t="str">
        <v/>
      </c>
      <c r="AM26" s="27" t="str">
        <v/>
      </c>
      <c r="AN26" s="27" t="str">
        <v/>
      </c>
      <c r="AO26" s="27" t="str">
        <v/>
      </c>
      <c r="AP26" s="28">
        <f t="shared" si="0"/>
        <v>56</v>
      </c>
    </row>
    <row r="27" spans="1:42" x14ac:dyDescent="0.2">
      <c r="A27" s="28">
        <v>29</v>
      </c>
      <c r="B27" s="27">
        <v>9</v>
      </c>
      <c r="C27" s="27">
        <v>8</v>
      </c>
      <c r="D27" s="27">
        <v>7</v>
      </c>
      <c r="E27" s="27">
        <v>6</v>
      </c>
      <c r="F27" s="27">
        <v>6</v>
      </c>
      <c r="G27" s="27">
        <v>5</v>
      </c>
      <c r="H27" s="27">
        <v>4</v>
      </c>
      <c r="I27" s="27">
        <v>3</v>
      </c>
      <c r="J27" s="27">
        <v>3</v>
      </c>
      <c r="K27" s="27">
        <v>2</v>
      </c>
      <c r="L27" s="27">
        <v>1</v>
      </c>
      <c r="M27" s="27">
        <v>1</v>
      </c>
      <c r="N27" s="27">
        <v>1</v>
      </c>
      <c r="O27" s="27">
        <v>1</v>
      </c>
      <c r="P27" s="27">
        <v>1</v>
      </c>
      <c r="Q27" s="27" t="str">
        <v/>
      </c>
      <c r="R27" s="27" t="str">
        <v/>
      </c>
      <c r="S27" s="27" t="str">
        <v/>
      </c>
      <c r="T27" s="27" t="str">
        <v/>
      </c>
      <c r="U27" s="27" t="str">
        <v/>
      </c>
      <c r="V27" s="27" t="str">
        <v/>
      </c>
      <c r="W27" s="27" t="str">
        <v/>
      </c>
      <c r="X27" s="27" t="str">
        <v/>
      </c>
      <c r="Y27" s="27" t="str">
        <v/>
      </c>
      <c r="Z27" s="27" t="str">
        <v/>
      </c>
      <c r="AA27" s="27" t="str">
        <v/>
      </c>
      <c r="AB27" s="27" t="str">
        <v/>
      </c>
      <c r="AC27" s="27" t="str">
        <v/>
      </c>
      <c r="AD27" s="27" t="str">
        <v/>
      </c>
      <c r="AE27" s="27" t="str">
        <v/>
      </c>
      <c r="AF27" s="27" t="str">
        <v/>
      </c>
      <c r="AG27" s="27" t="str">
        <v/>
      </c>
      <c r="AH27" s="27" t="str">
        <v/>
      </c>
      <c r="AI27" s="27" t="str">
        <v/>
      </c>
      <c r="AJ27" s="27" t="str">
        <v/>
      </c>
      <c r="AK27" s="27" t="str">
        <v/>
      </c>
      <c r="AL27" s="27" t="str">
        <v/>
      </c>
      <c r="AM27" s="27" t="str">
        <v/>
      </c>
      <c r="AN27" s="27" t="str">
        <v/>
      </c>
      <c r="AO27" s="27" t="str">
        <v/>
      </c>
      <c r="AP27" s="28">
        <f t="shared" si="0"/>
        <v>58</v>
      </c>
    </row>
    <row r="28" spans="1:42" x14ac:dyDescent="0.2">
      <c r="A28" s="27">
        <v>30</v>
      </c>
      <c r="B28" s="27">
        <v>9</v>
      </c>
      <c r="C28" s="27">
        <v>8</v>
      </c>
      <c r="D28" s="27">
        <v>7</v>
      </c>
      <c r="E28" s="27">
        <v>7</v>
      </c>
      <c r="F28" s="27">
        <v>6</v>
      </c>
      <c r="G28" s="27">
        <v>5</v>
      </c>
      <c r="H28" s="27">
        <v>4</v>
      </c>
      <c r="I28" s="27">
        <v>4</v>
      </c>
      <c r="J28" s="27">
        <v>3</v>
      </c>
      <c r="K28" s="27">
        <v>2</v>
      </c>
      <c r="L28" s="27">
        <v>1</v>
      </c>
      <c r="M28" s="27">
        <v>1</v>
      </c>
      <c r="N28" s="27">
        <v>1</v>
      </c>
      <c r="O28" s="27">
        <v>1</v>
      </c>
      <c r="P28" s="27">
        <v>1</v>
      </c>
      <c r="Q28" s="27" t="str">
        <v/>
      </c>
      <c r="R28" s="27" t="str">
        <v/>
      </c>
      <c r="S28" s="27" t="str">
        <v/>
      </c>
      <c r="T28" s="27" t="str">
        <v/>
      </c>
      <c r="U28" s="27" t="str">
        <v/>
      </c>
      <c r="V28" s="27" t="str">
        <v/>
      </c>
      <c r="W28" s="27" t="str">
        <v/>
      </c>
      <c r="X28" s="27" t="str">
        <v/>
      </c>
      <c r="Y28" s="27" t="str">
        <v/>
      </c>
      <c r="Z28" s="27" t="str">
        <v/>
      </c>
      <c r="AA28" s="27" t="str">
        <v/>
      </c>
      <c r="AB28" s="27" t="str">
        <v/>
      </c>
      <c r="AC28" s="27" t="str">
        <v/>
      </c>
      <c r="AD28" s="27" t="str">
        <v/>
      </c>
      <c r="AE28" s="27" t="str">
        <v/>
      </c>
      <c r="AF28" s="27" t="str">
        <v/>
      </c>
      <c r="AG28" s="27" t="str">
        <v/>
      </c>
      <c r="AH28" s="27" t="str">
        <v/>
      </c>
      <c r="AI28" s="27" t="str">
        <v/>
      </c>
      <c r="AJ28" s="27" t="str">
        <v/>
      </c>
      <c r="AK28" s="27" t="str">
        <v/>
      </c>
      <c r="AL28" s="27" t="str">
        <v/>
      </c>
      <c r="AM28" s="27" t="str">
        <v/>
      </c>
      <c r="AN28" s="27" t="str">
        <v/>
      </c>
      <c r="AO28" s="27" t="str">
        <v/>
      </c>
      <c r="AP28" s="28">
        <f t="shared" si="0"/>
        <v>60</v>
      </c>
    </row>
    <row r="29" spans="1:42" x14ac:dyDescent="0.2">
      <c r="A29" s="28">
        <v>31</v>
      </c>
      <c r="B29" s="27">
        <v>9</v>
      </c>
      <c r="C29" s="27">
        <v>8</v>
      </c>
      <c r="D29" s="27">
        <v>8</v>
      </c>
      <c r="E29" s="27">
        <v>7</v>
      </c>
      <c r="F29" s="27">
        <v>6</v>
      </c>
      <c r="G29" s="27">
        <v>5</v>
      </c>
      <c r="H29" s="27">
        <v>4</v>
      </c>
      <c r="I29" s="27">
        <v>4</v>
      </c>
      <c r="J29" s="27">
        <v>3</v>
      </c>
      <c r="K29" s="27">
        <v>2</v>
      </c>
      <c r="L29" s="27">
        <v>1</v>
      </c>
      <c r="M29" s="27">
        <v>1</v>
      </c>
      <c r="N29" s="27">
        <v>1</v>
      </c>
      <c r="O29" s="27">
        <v>1</v>
      </c>
      <c r="P29" s="27">
        <v>1</v>
      </c>
      <c r="Q29" s="27">
        <v>1</v>
      </c>
      <c r="R29" s="27" t="str">
        <v/>
      </c>
      <c r="S29" s="27" t="str">
        <v/>
      </c>
      <c r="T29" s="27" t="str">
        <v/>
      </c>
      <c r="U29" s="27" t="str">
        <v/>
      </c>
      <c r="V29" s="27" t="str">
        <v/>
      </c>
      <c r="W29" s="27" t="str">
        <v/>
      </c>
      <c r="X29" s="27" t="str">
        <v/>
      </c>
      <c r="Y29" s="27" t="str">
        <v/>
      </c>
      <c r="Z29" s="27" t="str">
        <v/>
      </c>
      <c r="AA29" s="27" t="str">
        <v/>
      </c>
      <c r="AB29" s="27" t="str">
        <v/>
      </c>
      <c r="AC29" s="27" t="str">
        <v/>
      </c>
      <c r="AD29" s="27" t="str">
        <v/>
      </c>
      <c r="AE29" s="27" t="str">
        <v/>
      </c>
      <c r="AF29" s="27" t="str">
        <v/>
      </c>
      <c r="AG29" s="27" t="str">
        <v/>
      </c>
      <c r="AH29" s="27" t="str">
        <v/>
      </c>
      <c r="AI29" s="27" t="str">
        <v/>
      </c>
      <c r="AJ29" s="27" t="str">
        <v/>
      </c>
      <c r="AK29" s="27" t="str">
        <v/>
      </c>
      <c r="AL29" s="27" t="str">
        <v/>
      </c>
      <c r="AM29" s="27" t="str">
        <v/>
      </c>
      <c r="AN29" s="27" t="str">
        <v/>
      </c>
      <c r="AO29" s="27" t="str">
        <v/>
      </c>
      <c r="AP29" s="28">
        <f t="shared" si="0"/>
        <v>62</v>
      </c>
    </row>
    <row r="30" spans="1:42" x14ac:dyDescent="0.2">
      <c r="A30" s="27">
        <v>32</v>
      </c>
      <c r="B30" s="27">
        <v>10</v>
      </c>
      <c r="C30" s="27">
        <v>9</v>
      </c>
      <c r="D30" s="27">
        <v>8</v>
      </c>
      <c r="E30" s="27">
        <v>7</v>
      </c>
      <c r="F30" s="27">
        <v>6</v>
      </c>
      <c r="G30" s="27">
        <v>5</v>
      </c>
      <c r="H30" s="27">
        <v>4</v>
      </c>
      <c r="I30" s="27">
        <v>4</v>
      </c>
      <c r="J30" s="27">
        <v>3</v>
      </c>
      <c r="K30" s="27">
        <v>2</v>
      </c>
      <c r="L30" s="27">
        <v>1</v>
      </c>
      <c r="M30" s="27">
        <v>1</v>
      </c>
      <c r="N30" s="27">
        <v>1</v>
      </c>
      <c r="O30" s="27">
        <v>1</v>
      </c>
      <c r="P30" s="27">
        <v>1</v>
      </c>
      <c r="Q30" s="27">
        <v>1</v>
      </c>
      <c r="R30" s="27" t="str">
        <v/>
      </c>
      <c r="S30" s="27" t="str">
        <v/>
      </c>
      <c r="T30" s="27" t="str">
        <v/>
      </c>
      <c r="U30" s="27" t="str">
        <v/>
      </c>
      <c r="V30" s="27" t="str">
        <v/>
      </c>
      <c r="W30" s="27" t="str">
        <v/>
      </c>
      <c r="X30" s="27" t="str">
        <v/>
      </c>
      <c r="Y30" s="27" t="str">
        <v/>
      </c>
      <c r="Z30" s="27" t="str">
        <v/>
      </c>
      <c r="AA30" s="27" t="str">
        <v/>
      </c>
      <c r="AB30" s="27" t="str">
        <v/>
      </c>
      <c r="AC30" s="27" t="str">
        <v/>
      </c>
      <c r="AD30" s="27" t="str">
        <v/>
      </c>
      <c r="AE30" s="27" t="str">
        <v/>
      </c>
      <c r="AF30" s="27" t="str">
        <v/>
      </c>
      <c r="AG30" s="27" t="str">
        <v/>
      </c>
      <c r="AH30" s="27" t="str">
        <v/>
      </c>
      <c r="AI30" s="27" t="str">
        <v/>
      </c>
      <c r="AJ30" s="27" t="str">
        <v/>
      </c>
      <c r="AK30" s="27" t="str">
        <v/>
      </c>
      <c r="AL30" s="27" t="str">
        <v/>
      </c>
      <c r="AM30" s="27" t="str">
        <v/>
      </c>
      <c r="AN30" s="27" t="str">
        <v/>
      </c>
      <c r="AO30" s="27" t="str">
        <v/>
      </c>
      <c r="AP30" s="28">
        <f t="shared" si="0"/>
        <v>64</v>
      </c>
    </row>
    <row r="31" spans="1:42" x14ac:dyDescent="0.2">
      <c r="A31" s="28">
        <v>33</v>
      </c>
      <c r="B31" s="27">
        <v>10</v>
      </c>
      <c r="C31" s="27">
        <v>9</v>
      </c>
      <c r="D31" s="27">
        <v>8</v>
      </c>
      <c r="E31" s="27">
        <v>7</v>
      </c>
      <c r="F31" s="27">
        <v>6</v>
      </c>
      <c r="G31" s="27">
        <v>5</v>
      </c>
      <c r="H31" s="27">
        <v>4</v>
      </c>
      <c r="I31" s="27">
        <v>4</v>
      </c>
      <c r="J31" s="27">
        <v>3</v>
      </c>
      <c r="K31" s="27">
        <v>2</v>
      </c>
      <c r="L31" s="27">
        <v>2</v>
      </c>
      <c r="M31" s="27">
        <v>1</v>
      </c>
      <c r="N31" s="27">
        <v>1</v>
      </c>
      <c r="O31" s="27">
        <v>1</v>
      </c>
      <c r="P31" s="27">
        <v>1</v>
      </c>
      <c r="Q31" s="27">
        <v>1</v>
      </c>
      <c r="R31" s="27">
        <v>1</v>
      </c>
      <c r="S31" s="27" t="str">
        <v/>
      </c>
      <c r="T31" s="27" t="str">
        <v/>
      </c>
      <c r="U31" s="27" t="str">
        <v/>
      </c>
      <c r="V31" s="27" t="str">
        <v/>
      </c>
      <c r="W31" s="27" t="str">
        <v/>
      </c>
      <c r="X31" s="27" t="str">
        <v/>
      </c>
      <c r="Y31" s="27" t="str">
        <v/>
      </c>
      <c r="Z31" s="27" t="str">
        <v/>
      </c>
      <c r="AA31" s="27" t="str">
        <v/>
      </c>
      <c r="AB31" s="27" t="str">
        <v/>
      </c>
      <c r="AC31" s="27" t="str">
        <v/>
      </c>
      <c r="AD31" s="27" t="str">
        <v/>
      </c>
      <c r="AE31" s="27" t="str">
        <v/>
      </c>
      <c r="AF31" s="27" t="str">
        <v/>
      </c>
      <c r="AG31" s="27" t="str">
        <v/>
      </c>
      <c r="AH31" s="27" t="str">
        <v/>
      </c>
      <c r="AI31" s="27" t="str">
        <v/>
      </c>
      <c r="AJ31" s="27" t="str">
        <v/>
      </c>
      <c r="AK31" s="27" t="str">
        <v/>
      </c>
      <c r="AL31" s="27" t="str">
        <v/>
      </c>
      <c r="AM31" s="27" t="str">
        <v/>
      </c>
      <c r="AN31" s="27" t="str">
        <v/>
      </c>
      <c r="AO31" s="27" t="str">
        <v/>
      </c>
      <c r="AP31" s="28">
        <f t="shared" si="0"/>
        <v>66</v>
      </c>
    </row>
    <row r="32" spans="1:42" x14ac:dyDescent="0.2">
      <c r="A32" s="27">
        <v>34</v>
      </c>
      <c r="B32" s="27">
        <v>10</v>
      </c>
      <c r="C32" s="27">
        <v>9</v>
      </c>
      <c r="D32" s="27">
        <v>8</v>
      </c>
      <c r="E32" s="27">
        <v>7</v>
      </c>
      <c r="F32" s="27">
        <v>6</v>
      </c>
      <c r="G32" s="27">
        <v>5</v>
      </c>
      <c r="H32" s="27">
        <v>4</v>
      </c>
      <c r="I32" s="27">
        <v>4</v>
      </c>
      <c r="J32" s="27">
        <v>3</v>
      </c>
      <c r="K32" s="27">
        <v>3</v>
      </c>
      <c r="L32" s="27">
        <v>2</v>
      </c>
      <c r="M32" s="27">
        <v>2</v>
      </c>
      <c r="N32" s="27">
        <v>1</v>
      </c>
      <c r="O32" s="27">
        <v>1</v>
      </c>
      <c r="P32" s="27">
        <v>1</v>
      </c>
      <c r="Q32" s="27">
        <v>1</v>
      </c>
      <c r="R32" s="27">
        <v>1</v>
      </c>
      <c r="S32" s="27" t="str">
        <v/>
      </c>
      <c r="T32" s="27" t="str">
        <v/>
      </c>
      <c r="U32" s="27" t="str">
        <v/>
      </c>
      <c r="V32" s="27" t="str">
        <v/>
      </c>
      <c r="W32" s="27" t="str">
        <v/>
      </c>
      <c r="X32" s="27" t="str">
        <v/>
      </c>
      <c r="Y32" s="27" t="str">
        <v/>
      </c>
      <c r="Z32" s="27" t="str">
        <v/>
      </c>
      <c r="AA32" s="27" t="str">
        <v/>
      </c>
      <c r="AB32" s="27" t="str">
        <v/>
      </c>
      <c r="AC32" s="27" t="str">
        <v/>
      </c>
      <c r="AD32" s="27" t="str">
        <v/>
      </c>
      <c r="AE32" s="27" t="str">
        <v/>
      </c>
      <c r="AF32" s="27" t="str">
        <v/>
      </c>
      <c r="AG32" s="27" t="str">
        <v/>
      </c>
      <c r="AH32" s="27" t="str">
        <v/>
      </c>
      <c r="AI32" s="27" t="str">
        <v/>
      </c>
      <c r="AJ32" s="27" t="str">
        <v/>
      </c>
      <c r="AK32" s="27" t="str">
        <v/>
      </c>
      <c r="AL32" s="27" t="str">
        <v/>
      </c>
      <c r="AM32" s="27" t="str">
        <v/>
      </c>
      <c r="AN32" s="27" t="str">
        <v/>
      </c>
      <c r="AO32" s="27" t="str">
        <v/>
      </c>
      <c r="AP32" s="28">
        <f t="shared" si="0"/>
        <v>68</v>
      </c>
    </row>
    <row r="33" spans="1:42" x14ac:dyDescent="0.2">
      <c r="A33" s="28">
        <v>35</v>
      </c>
      <c r="B33" s="27">
        <v>10</v>
      </c>
      <c r="C33" s="27">
        <v>9</v>
      </c>
      <c r="D33" s="27">
        <v>8</v>
      </c>
      <c r="E33" s="27">
        <v>7</v>
      </c>
      <c r="F33" s="27">
        <v>6</v>
      </c>
      <c r="G33" s="27">
        <v>5</v>
      </c>
      <c r="H33" s="27">
        <v>5</v>
      </c>
      <c r="I33" s="27">
        <v>4</v>
      </c>
      <c r="J33" s="27">
        <v>3</v>
      </c>
      <c r="K33" s="27">
        <v>3</v>
      </c>
      <c r="L33" s="27">
        <v>2</v>
      </c>
      <c r="M33" s="27">
        <v>2</v>
      </c>
      <c r="N33" s="27">
        <v>1</v>
      </c>
      <c r="O33" s="27">
        <v>1</v>
      </c>
      <c r="P33" s="27">
        <v>1</v>
      </c>
      <c r="Q33" s="27">
        <v>1</v>
      </c>
      <c r="R33" s="27">
        <v>1</v>
      </c>
      <c r="S33" s="27">
        <v>1</v>
      </c>
      <c r="T33" s="27" t="str">
        <v/>
      </c>
      <c r="U33" s="27" t="str">
        <v/>
      </c>
      <c r="V33" s="27" t="str">
        <v/>
      </c>
      <c r="W33" s="27" t="str">
        <v/>
      </c>
      <c r="X33" s="27" t="str">
        <v/>
      </c>
      <c r="Y33" s="27" t="str">
        <v/>
      </c>
      <c r="Z33" s="27" t="str">
        <v/>
      </c>
      <c r="AA33" s="27" t="str">
        <v/>
      </c>
      <c r="AB33" s="27" t="str">
        <v/>
      </c>
      <c r="AC33" s="27" t="str">
        <v/>
      </c>
      <c r="AD33" s="27" t="str">
        <v/>
      </c>
      <c r="AE33" s="27" t="str">
        <v/>
      </c>
      <c r="AF33" s="27" t="str">
        <v/>
      </c>
      <c r="AG33" s="27" t="str">
        <v/>
      </c>
      <c r="AH33" s="27" t="str">
        <v/>
      </c>
      <c r="AI33" s="27" t="str">
        <v/>
      </c>
      <c r="AJ33" s="27" t="str">
        <v/>
      </c>
      <c r="AK33" s="27" t="str">
        <v/>
      </c>
      <c r="AL33" s="27" t="str">
        <v/>
      </c>
      <c r="AM33" s="27" t="str">
        <v/>
      </c>
      <c r="AN33" s="27" t="str">
        <v/>
      </c>
      <c r="AO33" s="27" t="str">
        <v/>
      </c>
      <c r="AP33" s="28">
        <f t="shared" si="0"/>
        <v>70</v>
      </c>
    </row>
    <row r="34" spans="1:42" x14ac:dyDescent="0.2">
      <c r="A34" s="27">
        <v>36</v>
      </c>
      <c r="B34" s="27">
        <v>10</v>
      </c>
      <c r="C34" s="27">
        <v>9</v>
      </c>
      <c r="D34" s="27">
        <v>8</v>
      </c>
      <c r="E34" s="27">
        <v>7</v>
      </c>
      <c r="F34" s="27">
        <v>6</v>
      </c>
      <c r="G34" s="27">
        <v>6</v>
      </c>
      <c r="H34" s="27">
        <v>5</v>
      </c>
      <c r="I34" s="27">
        <v>4</v>
      </c>
      <c r="J34" s="27">
        <v>3</v>
      </c>
      <c r="K34" s="27">
        <v>3</v>
      </c>
      <c r="L34" s="27">
        <v>2</v>
      </c>
      <c r="M34" s="27">
        <v>2</v>
      </c>
      <c r="N34" s="27">
        <v>2</v>
      </c>
      <c r="O34" s="27">
        <v>1</v>
      </c>
      <c r="P34" s="27">
        <v>1</v>
      </c>
      <c r="Q34" s="27">
        <v>1</v>
      </c>
      <c r="R34" s="27">
        <v>1</v>
      </c>
      <c r="S34" s="27">
        <v>1</v>
      </c>
      <c r="T34" s="27" t="str">
        <v/>
      </c>
      <c r="U34" s="27" t="str">
        <v/>
      </c>
      <c r="V34" s="27" t="str">
        <v/>
      </c>
      <c r="W34" s="27" t="str">
        <v/>
      </c>
      <c r="X34" s="27" t="str">
        <v/>
      </c>
      <c r="Y34" s="27" t="str">
        <v/>
      </c>
      <c r="Z34" s="27" t="str">
        <v/>
      </c>
      <c r="AA34" s="27" t="str">
        <v/>
      </c>
      <c r="AB34" s="27" t="str">
        <v/>
      </c>
      <c r="AC34" s="27" t="str">
        <v/>
      </c>
      <c r="AD34" s="27" t="str">
        <v/>
      </c>
      <c r="AE34" s="27" t="str">
        <v/>
      </c>
      <c r="AF34" s="27" t="str">
        <v/>
      </c>
      <c r="AG34" s="27" t="str">
        <v/>
      </c>
      <c r="AH34" s="27" t="str">
        <v/>
      </c>
      <c r="AI34" s="27" t="str">
        <v/>
      </c>
      <c r="AJ34" s="27" t="str">
        <v/>
      </c>
      <c r="AK34" s="27" t="str">
        <v/>
      </c>
      <c r="AL34" s="27" t="str">
        <v/>
      </c>
      <c r="AM34" s="27" t="str">
        <v/>
      </c>
      <c r="AN34" s="27" t="str">
        <v/>
      </c>
      <c r="AO34" s="27" t="str">
        <v/>
      </c>
      <c r="AP34" s="28">
        <f t="shared" si="0"/>
        <v>72</v>
      </c>
    </row>
    <row r="35" spans="1:42" x14ac:dyDescent="0.2">
      <c r="A35" s="28">
        <v>37</v>
      </c>
      <c r="B35" s="27">
        <v>10</v>
      </c>
      <c r="C35" s="27">
        <v>9</v>
      </c>
      <c r="D35" s="27">
        <v>8</v>
      </c>
      <c r="E35" s="27">
        <v>7</v>
      </c>
      <c r="F35" s="27">
        <v>6</v>
      </c>
      <c r="G35" s="27">
        <v>6</v>
      </c>
      <c r="H35" s="27">
        <v>5</v>
      </c>
      <c r="I35" s="27">
        <v>4</v>
      </c>
      <c r="J35" s="27">
        <v>4</v>
      </c>
      <c r="K35" s="27">
        <v>3</v>
      </c>
      <c r="L35" s="27">
        <v>2</v>
      </c>
      <c r="M35" s="27">
        <v>2</v>
      </c>
      <c r="N35" s="27">
        <v>2</v>
      </c>
      <c r="O35" s="27">
        <v>1</v>
      </c>
      <c r="P35" s="27">
        <v>1</v>
      </c>
      <c r="Q35" s="27">
        <v>1</v>
      </c>
      <c r="R35" s="27">
        <v>1</v>
      </c>
      <c r="S35" s="27">
        <v>1</v>
      </c>
      <c r="T35" s="27">
        <v>1</v>
      </c>
      <c r="U35" s="27" t="str">
        <v/>
      </c>
      <c r="V35" s="27" t="str">
        <v/>
      </c>
      <c r="W35" s="27" t="str">
        <v/>
      </c>
      <c r="X35" s="27" t="str">
        <v/>
      </c>
      <c r="Y35" s="27" t="str">
        <v/>
      </c>
      <c r="Z35" s="27" t="str">
        <v/>
      </c>
      <c r="AA35" s="27" t="str">
        <v/>
      </c>
      <c r="AB35" s="27" t="str">
        <v/>
      </c>
      <c r="AC35" s="27" t="str">
        <v/>
      </c>
      <c r="AD35" s="27" t="str">
        <v/>
      </c>
      <c r="AE35" s="27" t="str">
        <v/>
      </c>
      <c r="AF35" s="27" t="str">
        <v/>
      </c>
      <c r="AG35" s="27" t="str">
        <v/>
      </c>
      <c r="AH35" s="27" t="str">
        <v/>
      </c>
      <c r="AI35" s="27" t="str">
        <v/>
      </c>
      <c r="AJ35" s="27" t="str">
        <v/>
      </c>
      <c r="AK35" s="27" t="str">
        <v/>
      </c>
      <c r="AL35" s="27" t="str">
        <v/>
      </c>
      <c r="AM35" s="27" t="str">
        <v/>
      </c>
      <c r="AN35" s="27" t="str">
        <v/>
      </c>
      <c r="AO35" s="27" t="str">
        <v/>
      </c>
      <c r="AP35" s="28">
        <f t="shared" si="0"/>
        <v>74</v>
      </c>
    </row>
    <row r="36" spans="1:42" x14ac:dyDescent="0.2">
      <c r="A36" s="27">
        <v>38</v>
      </c>
      <c r="B36" s="27">
        <v>10</v>
      </c>
      <c r="C36" s="27">
        <v>9</v>
      </c>
      <c r="D36" s="27">
        <v>8</v>
      </c>
      <c r="E36" s="27">
        <v>8</v>
      </c>
      <c r="F36" s="27">
        <v>7</v>
      </c>
      <c r="G36" s="27">
        <v>6</v>
      </c>
      <c r="H36" s="27">
        <v>5</v>
      </c>
      <c r="I36" s="27">
        <v>4</v>
      </c>
      <c r="J36" s="27">
        <v>4</v>
      </c>
      <c r="K36" s="27">
        <v>3</v>
      </c>
      <c r="L36" s="27">
        <v>2</v>
      </c>
      <c r="M36" s="27">
        <v>2</v>
      </c>
      <c r="N36" s="27">
        <v>2</v>
      </c>
      <c r="O36" s="27">
        <v>1</v>
      </c>
      <c r="P36" s="27">
        <v>1</v>
      </c>
      <c r="Q36" s="27">
        <v>1</v>
      </c>
      <c r="R36" s="27">
        <v>1</v>
      </c>
      <c r="S36" s="27">
        <v>1</v>
      </c>
      <c r="T36" s="27">
        <v>1</v>
      </c>
      <c r="U36" s="27" t="str">
        <v/>
      </c>
      <c r="V36" s="27" t="str">
        <v/>
      </c>
      <c r="W36" s="27" t="str">
        <v/>
      </c>
      <c r="X36" s="27" t="str">
        <v/>
      </c>
      <c r="Y36" s="27" t="str">
        <v/>
      </c>
      <c r="Z36" s="27" t="str">
        <v/>
      </c>
      <c r="AA36" s="27" t="str">
        <v/>
      </c>
      <c r="AB36" s="27" t="str">
        <v/>
      </c>
      <c r="AC36" s="27" t="str">
        <v/>
      </c>
      <c r="AD36" s="27" t="str">
        <v/>
      </c>
      <c r="AE36" s="27" t="str">
        <v/>
      </c>
      <c r="AF36" s="27" t="str">
        <v/>
      </c>
      <c r="AG36" s="27" t="str">
        <v/>
      </c>
      <c r="AH36" s="27" t="str">
        <v/>
      </c>
      <c r="AI36" s="27" t="str">
        <v/>
      </c>
      <c r="AJ36" s="27" t="str">
        <v/>
      </c>
      <c r="AK36" s="27" t="str">
        <v/>
      </c>
      <c r="AL36" s="27" t="str">
        <v/>
      </c>
      <c r="AM36" s="27" t="str">
        <v/>
      </c>
      <c r="AN36" s="27" t="str">
        <v/>
      </c>
      <c r="AO36" s="27" t="str">
        <v/>
      </c>
      <c r="AP36" s="28">
        <f t="shared" si="0"/>
        <v>76</v>
      </c>
    </row>
    <row r="37" spans="1:42" x14ac:dyDescent="0.2">
      <c r="A37" s="28">
        <v>39</v>
      </c>
      <c r="B37" s="27">
        <v>10</v>
      </c>
      <c r="C37" s="27">
        <v>9</v>
      </c>
      <c r="D37" s="27">
        <v>8</v>
      </c>
      <c r="E37" s="27">
        <v>8</v>
      </c>
      <c r="F37" s="27">
        <v>7</v>
      </c>
      <c r="G37" s="27">
        <v>6</v>
      </c>
      <c r="H37" s="27">
        <v>5</v>
      </c>
      <c r="I37" s="27">
        <v>4</v>
      </c>
      <c r="J37" s="27">
        <v>4</v>
      </c>
      <c r="K37" s="27">
        <v>3</v>
      </c>
      <c r="L37" s="27">
        <v>2</v>
      </c>
      <c r="M37" s="27">
        <v>2</v>
      </c>
      <c r="N37" s="27">
        <v>2</v>
      </c>
      <c r="O37" s="27">
        <v>2</v>
      </c>
      <c r="P37" s="27">
        <v>1</v>
      </c>
      <c r="Q37" s="27">
        <v>1</v>
      </c>
      <c r="R37" s="27">
        <v>1</v>
      </c>
      <c r="S37" s="27">
        <v>1</v>
      </c>
      <c r="T37" s="27">
        <v>1</v>
      </c>
      <c r="U37" s="27">
        <v>1</v>
      </c>
      <c r="V37" s="27" t="str">
        <v/>
      </c>
      <c r="W37" s="27" t="str">
        <v/>
      </c>
      <c r="X37" s="27" t="str">
        <v/>
      </c>
      <c r="Y37" s="27" t="str">
        <v/>
      </c>
      <c r="Z37" s="27" t="str">
        <v/>
      </c>
      <c r="AA37" s="27" t="str">
        <v/>
      </c>
      <c r="AB37" s="27" t="str">
        <v/>
      </c>
      <c r="AC37" s="27" t="str">
        <v/>
      </c>
      <c r="AD37" s="27" t="str">
        <v/>
      </c>
      <c r="AE37" s="27" t="str">
        <v/>
      </c>
      <c r="AF37" s="27" t="str">
        <v/>
      </c>
      <c r="AG37" s="27" t="str">
        <v/>
      </c>
      <c r="AH37" s="27" t="str">
        <v/>
      </c>
      <c r="AI37" s="27" t="str">
        <v/>
      </c>
      <c r="AJ37" s="27" t="str">
        <v/>
      </c>
      <c r="AK37" s="27" t="str">
        <v/>
      </c>
      <c r="AL37" s="27" t="str">
        <v/>
      </c>
      <c r="AM37" s="27" t="str">
        <v/>
      </c>
      <c r="AN37" s="27" t="str">
        <v/>
      </c>
      <c r="AO37" s="27" t="str">
        <v/>
      </c>
      <c r="AP37" s="28">
        <f t="shared" si="0"/>
        <v>78</v>
      </c>
    </row>
    <row r="38" spans="1:42" x14ac:dyDescent="0.2">
      <c r="A38" s="27">
        <v>40</v>
      </c>
      <c r="B38" s="27">
        <v>10</v>
      </c>
      <c r="C38" s="27">
        <v>9</v>
      </c>
      <c r="D38" s="27">
        <v>9</v>
      </c>
      <c r="E38" s="27">
        <v>8</v>
      </c>
      <c r="F38" s="27">
        <v>7</v>
      </c>
      <c r="G38" s="27">
        <v>6</v>
      </c>
      <c r="H38" s="27">
        <v>5</v>
      </c>
      <c r="I38" s="27">
        <v>4</v>
      </c>
      <c r="J38" s="27">
        <v>4</v>
      </c>
      <c r="K38" s="27">
        <v>3</v>
      </c>
      <c r="L38" s="27">
        <v>3</v>
      </c>
      <c r="M38" s="27">
        <v>2</v>
      </c>
      <c r="N38" s="27">
        <v>2</v>
      </c>
      <c r="O38" s="27">
        <v>2</v>
      </c>
      <c r="P38" s="27">
        <v>1</v>
      </c>
      <c r="Q38" s="27">
        <v>1</v>
      </c>
      <c r="R38" s="27">
        <v>1</v>
      </c>
      <c r="S38" s="27">
        <v>1</v>
      </c>
      <c r="T38" s="27">
        <v>1</v>
      </c>
      <c r="U38" s="27">
        <v>1</v>
      </c>
      <c r="V38" s="27" t="str">
        <v/>
      </c>
      <c r="W38" s="27" t="str">
        <v/>
      </c>
      <c r="X38" s="27" t="str">
        <v/>
      </c>
      <c r="Y38" s="27" t="str">
        <v/>
      </c>
      <c r="Z38" s="27" t="str">
        <v/>
      </c>
      <c r="AA38" s="27" t="str">
        <v/>
      </c>
      <c r="AB38" s="27" t="str">
        <v/>
      </c>
      <c r="AC38" s="27" t="str">
        <v/>
      </c>
      <c r="AD38" s="27" t="str">
        <v/>
      </c>
      <c r="AE38" s="27" t="str">
        <v/>
      </c>
      <c r="AF38" s="27" t="str">
        <v/>
      </c>
      <c r="AG38" s="27" t="str">
        <v/>
      </c>
      <c r="AH38" s="27" t="str">
        <v/>
      </c>
      <c r="AI38" s="27" t="str">
        <v/>
      </c>
      <c r="AJ38" s="27" t="str">
        <v/>
      </c>
      <c r="AK38" s="27" t="str">
        <v/>
      </c>
      <c r="AL38" s="27" t="str">
        <v/>
      </c>
      <c r="AM38" s="27" t="str">
        <v/>
      </c>
      <c r="AN38" s="27" t="str">
        <v/>
      </c>
      <c r="AO38" s="27" t="str">
        <v/>
      </c>
      <c r="AP38" s="28">
        <f t="shared" si="0"/>
        <v>80</v>
      </c>
    </row>
    <row r="39" spans="1:42" x14ac:dyDescent="0.2">
      <c r="A39" s="28">
        <v>41</v>
      </c>
      <c r="B39" s="27">
        <v>10</v>
      </c>
      <c r="C39" s="27">
        <v>9</v>
      </c>
      <c r="D39" s="27">
        <v>9</v>
      </c>
      <c r="E39" s="27">
        <v>8</v>
      </c>
      <c r="F39" s="27">
        <v>7</v>
      </c>
      <c r="G39" s="27">
        <v>6</v>
      </c>
      <c r="H39" s="27">
        <v>5</v>
      </c>
      <c r="I39" s="27">
        <v>4</v>
      </c>
      <c r="J39" s="27">
        <v>4</v>
      </c>
      <c r="K39" s="27">
        <v>3</v>
      </c>
      <c r="L39" s="27">
        <v>3</v>
      </c>
      <c r="M39" s="27">
        <v>2</v>
      </c>
      <c r="N39" s="27">
        <v>2</v>
      </c>
      <c r="O39" s="27">
        <v>2</v>
      </c>
      <c r="P39" s="27">
        <v>2</v>
      </c>
      <c r="Q39" s="27">
        <v>1</v>
      </c>
      <c r="R39" s="27">
        <v>1</v>
      </c>
      <c r="S39" s="27">
        <v>1</v>
      </c>
      <c r="T39" s="27">
        <v>1</v>
      </c>
      <c r="U39" s="27">
        <v>1</v>
      </c>
      <c r="V39" s="27">
        <v>1</v>
      </c>
      <c r="W39" s="27" t="str">
        <v/>
      </c>
      <c r="X39" s="27" t="str">
        <v/>
      </c>
      <c r="Y39" s="27" t="str">
        <v/>
      </c>
      <c r="Z39" s="27" t="str">
        <v/>
      </c>
      <c r="AA39" s="27" t="str">
        <v/>
      </c>
      <c r="AB39" s="27" t="str">
        <v/>
      </c>
      <c r="AC39" s="27" t="str">
        <v/>
      </c>
      <c r="AD39" s="27" t="str">
        <v/>
      </c>
      <c r="AE39" s="27" t="str">
        <v/>
      </c>
      <c r="AF39" s="27" t="str">
        <v/>
      </c>
      <c r="AG39" s="27" t="str">
        <v/>
      </c>
      <c r="AH39" s="27" t="str">
        <v/>
      </c>
      <c r="AI39" s="27" t="str">
        <v/>
      </c>
      <c r="AJ39" s="27" t="str">
        <v/>
      </c>
      <c r="AK39" s="27" t="str">
        <v/>
      </c>
      <c r="AL39" s="27" t="str">
        <v/>
      </c>
      <c r="AM39" s="27" t="str">
        <v/>
      </c>
      <c r="AN39" s="27" t="str">
        <v/>
      </c>
      <c r="AO39" s="27" t="str">
        <v/>
      </c>
      <c r="AP39" s="28">
        <f t="shared" si="0"/>
        <v>82</v>
      </c>
    </row>
    <row r="40" spans="1:42" x14ac:dyDescent="0.2">
      <c r="A40" s="27">
        <v>42</v>
      </c>
      <c r="B40" s="27">
        <v>11</v>
      </c>
      <c r="C40" s="27">
        <v>10</v>
      </c>
      <c r="D40" s="27">
        <v>9</v>
      </c>
      <c r="E40" s="27">
        <v>8</v>
      </c>
      <c r="F40" s="27">
        <v>7</v>
      </c>
      <c r="G40" s="27">
        <v>6</v>
      </c>
      <c r="H40" s="27">
        <v>5</v>
      </c>
      <c r="I40" s="27">
        <v>4</v>
      </c>
      <c r="J40" s="27">
        <v>4</v>
      </c>
      <c r="K40" s="27">
        <v>3</v>
      </c>
      <c r="L40" s="27">
        <v>3</v>
      </c>
      <c r="M40" s="27">
        <v>2</v>
      </c>
      <c r="N40" s="27">
        <v>2</v>
      </c>
      <c r="O40" s="27">
        <v>2</v>
      </c>
      <c r="P40" s="27">
        <v>2</v>
      </c>
      <c r="Q40" s="27">
        <v>1</v>
      </c>
      <c r="R40" s="27">
        <v>1</v>
      </c>
      <c r="S40" s="27">
        <v>1</v>
      </c>
      <c r="T40" s="27">
        <v>1</v>
      </c>
      <c r="U40" s="27">
        <v>1</v>
      </c>
      <c r="V40" s="27">
        <v>1</v>
      </c>
      <c r="W40" s="27" t="str">
        <v/>
      </c>
      <c r="X40" s="27" t="str">
        <v/>
      </c>
      <c r="Y40" s="27" t="str">
        <v/>
      </c>
      <c r="Z40" s="27" t="str">
        <v/>
      </c>
      <c r="AA40" s="27" t="str">
        <v/>
      </c>
      <c r="AB40" s="27" t="str">
        <v/>
      </c>
      <c r="AC40" s="27" t="str">
        <v/>
      </c>
      <c r="AD40" s="27" t="str">
        <v/>
      </c>
      <c r="AE40" s="27" t="str">
        <v/>
      </c>
      <c r="AF40" s="27" t="str">
        <v/>
      </c>
      <c r="AG40" s="27" t="str">
        <v/>
      </c>
      <c r="AH40" s="27" t="str">
        <v/>
      </c>
      <c r="AI40" s="27" t="str">
        <v/>
      </c>
      <c r="AJ40" s="27" t="str">
        <v/>
      </c>
      <c r="AK40" s="27" t="str">
        <v/>
      </c>
      <c r="AL40" s="27" t="str">
        <v/>
      </c>
      <c r="AM40" s="27" t="str">
        <v/>
      </c>
      <c r="AN40" s="27" t="str">
        <v/>
      </c>
      <c r="AO40" s="27" t="str">
        <v/>
      </c>
      <c r="AP40" s="28">
        <f t="shared" si="0"/>
        <v>84</v>
      </c>
    </row>
    <row r="41" spans="1:42" x14ac:dyDescent="0.2">
      <c r="A41" s="28">
        <v>43</v>
      </c>
      <c r="B41" s="27">
        <v>11</v>
      </c>
      <c r="C41" s="27">
        <v>10</v>
      </c>
      <c r="D41" s="27">
        <v>9</v>
      </c>
      <c r="E41" s="27">
        <v>8</v>
      </c>
      <c r="F41" s="27">
        <v>7</v>
      </c>
      <c r="G41" s="27">
        <v>6</v>
      </c>
      <c r="H41" s="27">
        <v>5</v>
      </c>
      <c r="I41" s="27">
        <v>4</v>
      </c>
      <c r="J41" s="27">
        <v>4</v>
      </c>
      <c r="K41" s="27">
        <v>3</v>
      </c>
      <c r="L41" s="27">
        <v>3</v>
      </c>
      <c r="M41" s="27">
        <v>2</v>
      </c>
      <c r="N41" s="27">
        <v>2</v>
      </c>
      <c r="O41" s="27">
        <v>2</v>
      </c>
      <c r="P41" s="27">
        <v>2</v>
      </c>
      <c r="Q41" s="27">
        <v>2</v>
      </c>
      <c r="R41" s="27">
        <v>1</v>
      </c>
      <c r="S41" s="27">
        <v>1</v>
      </c>
      <c r="T41" s="27">
        <v>1</v>
      </c>
      <c r="U41" s="27">
        <v>1</v>
      </c>
      <c r="V41" s="27">
        <v>1</v>
      </c>
      <c r="W41" s="27">
        <v>1</v>
      </c>
      <c r="X41" s="27" t="str">
        <v/>
      </c>
      <c r="Y41" s="27" t="str">
        <v/>
      </c>
      <c r="Z41" s="27" t="str">
        <v/>
      </c>
      <c r="AA41" s="27" t="str">
        <v/>
      </c>
      <c r="AB41" s="27" t="str">
        <v/>
      </c>
      <c r="AC41" s="27" t="str">
        <v/>
      </c>
      <c r="AD41" s="27" t="str">
        <v/>
      </c>
      <c r="AE41" s="27" t="str">
        <v/>
      </c>
      <c r="AF41" s="27" t="str">
        <v/>
      </c>
      <c r="AG41" s="27" t="str">
        <v/>
      </c>
      <c r="AH41" s="27" t="str">
        <v/>
      </c>
      <c r="AI41" s="27" t="str">
        <v/>
      </c>
      <c r="AJ41" s="27" t="str">
        <v/>
      </c>
      <c r="AK41" s="27" t="str">
        <v/>
      </c>
      <c r="AL41" s="27" t="str">
        <v/>
      </c>
      <c r="AM41" s="27" t="str">
        <v/>
      </c>
      <c r="AN41" s="27" t="str">
        <v/>
      </c>
      <c r="AO41" s="27" t="str">
        <v/>
      </c>
      <c r="AP41" s="28">
        <f t="shared" si="0"/>
        <v>86</v>
      </c>
    </row>
    <row r="42" spans="1:42" x14ac:dyDescent="0.2">
      <c r="A42" s="27">
        <v>44</v>
      </c>
      <c r="B42" s="27">
        <v>11</v>
      </c>
      <c r="C42" s="27">
        <v>10</v>
      </c>
      <c r="D42" s="27">
        <v>9</v>
      </c>
      <c r="E42" s="27">
        <v>8</v>
      </c>
      <c r="F42" s="27">
        <v>7</v>
      </c>
      <c r="G42" s="27">
        <v>6</v>
      </c>
      <c r="H42" s="27">
        <v>5</v>
      </c>
      <c r="I42" s="27">
        <v>5</v>
      </c>
      <c r="J42" s="27">
        <v>4</v>
      </c>
      <c r="K42" s="27">
        <v>3</v>
      </c>
      <c r="L42" s="27">
        <v>3</v>
      </c>
      <c r="M42" s="27">
        <v>3</v>
      </c>
      <c r="N42" s="27">
        <v>2</v>
      </c>
      <c r="O42" s="27">
        <v>2</v>
      </c>
      <c r="P42" s="27">
        <v>2</v>
      </c>
      <c r="Q42" s="27">
        <v>2</v>
      </c>
      <c r="R42" s="27">
        <v>1</v>
      </c>
      <c r="S42" s="27">
        <v>1</v>
      </c>
      <c r="T42" s="27">
        <v>1</v>
      </c>
      <c r="U42" s="27">
        <v>1</v>
      </c>
      <c r="V42" s="27">
        <v>1</v>
      </c>
      <c r="W42" s="27">
        <v>1</v>
      </c>
      <c r="X42" s="27" t="str">
        <v/>
      </c>
      <c r="Y42" s="27" t="str">
        <v/>
      </c>
      <c r="Z42" s="27" t="str">
        <v/>
      </c>
      <c r="AA42" s="27" t="str">
        <v/>
      </c>
      <c r="AB42" s="27" t="str">
        <v/>
      </c>
      <c r="AC42" s="27" t="str">
        <v/>
      </c>
      <c r="AD42" s="27" t="str">
        <v/>
      </c>
      <c r="AE42" s="27" t="str">
        <v/>
      </c>
      <c r="AF42" s="27" t="str">
        <v/>
      </c>
      <c r="AG42" s="27" t="str">
        <v/>
      </c>
      <c r="AH42" s="27" t="str">
        <v/>
      </c>
      <c r="AI42" s="27" t="str">
        <v/>
      </c>
      <c r="AJ42" s="27" t="str">
        <v/>
      </c>
      <c r="AK42" s="27" t="str">
        <v/>
      </c>
      <c r="AL42" s="27" t="str">
        <v/>
      </c>
      <c r="AM42" s="27" t="str">
        <v/>
      </c>
      <c r="AN42" s="27" t="str">
        <v/>
      </c>
      <c r="AO42" s="27" t="str">
        <v/>
      </c>
      <c r="AP42" s="28">
        <f t="shared" si="0"/>
        <v>88</v>
      </c>
    </row>
    <row r="43" spans="1:42" x14ac:dyDescent="0.2">
      <c r="A43" s="28">
        <v>45</v>
      </c>
      <c r="B43" s="27">
        <v>11</v>
      </c>
      <c r="C43" s="27">
        <v>10</v>
      </c>
      <c r="D43" s="27">
        <v>9</v>
      </c>
      <c r="E43" s="27">
        <v>8</v>
      </c>
      <c r="F43" s="27">
        <v>7</v>
      </c>
      <c r="G43" s="27">
        <v>6</v>
      </c>
      <c r="H43" s="27">
        <v>5</v>
      </c>
      <c r="I43" s="27">
        <v>5</v>
      </c>
      <c r="J43" s="27">
        <v>4</v>
      </c>
      <c r="K43" s="27">
        <v>4</v>
      </c>
      <c r="L43" s="27">
        <v>3</v>
      </c>
      <c r="M43" s="27">
        <v>3</v>
      </c>
      <c r="N43" s="27">
        <v>2</v>
      </c>
      <c r="O43" s="27">
        <v>2</v>
      </c>
      <c r="P43" s="27">
        <v>2</v>
      </c>
      <c r="Q43" s="27">
        <v>2</v>
      </c>
      <c r="R43" s="27">
        <v>1</v>
      </c>
      <c r="S43" s="27">
        <v>1</v>
      </c>
      <c r="T43" s="27">
        <v>1</v>
      </c>
      <c r="U43" s="27">
        <v>1</v>
      </c>
      <c r="V43" s="27">
        <v>1</v>
      </c>
      <c r="W43" s="27">
        <v>1</v>
      </c>
      <c r="X43" s="27">
        <v>1</v>
      </c>
      <c r="Y43" s="27" t="str">
        <v/>
      </c>
      <c r="Z43" s="27" t="str">
        <v/>
      </c>
      <c r="AA43" s="27" t="str">
        <v/>
      </c>
      <c r="AB43" s="27" t="str">
        <v/>
      </c>
      <c r="AC43" s="27" t="str">
        <v/>
      </c>
      <c r="AD43" s="27" t="str">
        <v/>
      </c>
      <c r="AE43" s="27" t="str">
        <v/>
      </c>
      <c r="AF43" s="27" t="str">
        <v/>
      </c>
      <c r="AG43" s="27" t="str">
        <v/>
      </c>
      <c r="AH43" s="27" t="str">
        <v/>
      </c>
      <c r="AI43" s="27" t="str">
        <v/>
      </c>
      <c r="AJ43" s="27" t="str">
        <v/>
      </c>
      <c r="AK43" s="27" t="str">
        <v/>
      </c>
      <c r="AL43" s="27" t="str">
        <v/>
      </c>
      <c r="AM43" s="27" t="str">
        <v/>
      </c>
      <c r="AN43" s="27" t="str">
        <v/>
      </c>
      <c r="AO43" s="27" t="str">
        <v/>
      </c>
      <c r="AP43" s="28">
        <f t="shared" si="0"/>
        <v>90</v>
      </c>
    </row>
    <row r="44" spans="1:42" x14ac:dyDescent="0.2">
      <c r="A44" s="27">
        <v>46</v>
      </c>
      <c r="B44" s="27">
        <v>11</v>
      </c>
      <c r="C44" s="27">
        <v>10</v>
      </c>
      <c r="D44" s="27">
        <v>9</v>
      </c>
      <c r="E44" s="27">
        <v>8</v>
      </c>
      <c r="F44" s="27">
        <v>7</v>
      </c>
      <c r="G44" s="27">
        <v>6</v>
      </c>
      <c r="H44" s="27">
        <v>5</v>
      </c>
      <c r="I44" s="27">
        <v>5</v>
      </c>
      <c r="J44" s="27">
        <v>4</v>
      </c>
      <c r="K44" s="27">
        <v>4</v>
      </c>
      <c r="L44" s="27">
        <v>3</v>
      </c>
      <c r="M44" s="27">
        <v>3</v>
      </c>
      <c r="N44" s="27">
        <v>3</v>
      </c>
      <c r="O44" s="27">
        <v>2</v>
      </c>
      <c r="P44" s="27">
        <v>2</v>
      </c>
      <c r="Q44" s="27">
        <v>2</v>
      </c>
      <c r="R44" s="27">
        <v>2</v>
      </c>
      <c r="S44" s="27">
        <v>1</v>
      </c>
      <c r="T44" s="27">
        <v>1</v>
      </c>
      <c r="U44" s="27">
        <v>1</v>
      </c>
      <c r="V44" s="27">
        <v>1</v>
      </c>
      <c r="W44" s="27">
        <v>1</v>
      </c>
      <c r="X44" s="27">
        <v>1</v>
      </c>
      <c r="Y44" s="27" t="str">
        <v/>
      </c>
      <c r="Z44" s="27" t="str">
        <v/>
      </c>
      <c r="AA44" s="27" t="str">
        <v/>
      </c>
      <c r="AB44" s="27" t="str">
        <v/>
      </c>
      <c r="AC44" s="27" t="str">
        <v/>
      </c>
      <c r="AD44" s="27" t="str">
        <v/>
      </c>
      <c r="AE44" s="27" t="str">
        <v/>
      </c>
      <c r="AF44" s="27" t="str">
        <v/>
      </c>
      <c r="AG44" s="27" t="str">
        <v/>
      </c>
      <c r="AH44" s="27" t="str">
        <v/>
      </c>
      <c r="AI44" s="27" t="str">
        <v/>
      </c>
      <c r="AJ44" s="27" t="str">
        <v/>
      </c>
      <c r="AK44" s="27" t="str">
        <v/>
      </c>
      <c r="AL44" s="27" t="str">
        <v/>
      </c>
      <c r="AM44" s="27" t="str">
        <v/>
      </c>
      <c r="AN44" s="27" t="str">
        <v/>
      </c>
      <c r="AO44" s="27" t="str">
        <v/>
      </c>
      <c r="AP44" s="28">
        <f t="shared" si="0"/>
        <v>92</v>
      </c>
    </row>
    <row r="45" spans="1:42" x14ac:dyDescent="0.2">
      <c r="A45" s="28">
        <v>47</v>
      </c>
      <c r="B45" s="27">
        <v>11</v>
      </c>
      <c r="C45" s="27">
        <v>10</v>
      </c>
      <c r="D45" s="27">
        <v>9</v>
      </c>
      <c r="E45" s="27">
        <v>8</v>
      </c>
      <c r="F45" s="27">
        <v>7</v>
      </c>
      <c r="G45" s="27">
        <v>6</v>
      </c>
      <c r="H45" s="27">
        <v>5</v>
      </c>
      <c r="I45" s="27">
        <v>5</v>
      </c>
      <c r="J45" s="27">
        <v>4</v>
      </c>
      <c r="K45" s="27">
        <v>4</v>
      </c>
      <c r="L45" s="27">
        <v>3</v>
      </c>
      <c r="M45" s="27">
        <v>3</v>
      </c>
      <c r="N45" s="27">
        <v>3</v>
      </c>
      <c r="O45" s="27">
        <v>3</v>
      </c>
      <c r="P45" s="27">
        <v>2</v>
      </c>
      <c r="Q45" s="27">
        <v>2</v>
      </c>
      <c r="R45" s="27">
        <v>2</v>
      </c>
      <c r="S45" s="27">
        <v>1</v>
      </c>
      <c r="T45" s="27">
        <v>1</v>
      </c>
      <c r="U45" s="27">
        <v>1</v>
      </c>
      <c r="V45" s="27">
        <v>1</v>
      </c>
      <c r="W45" s="27">
        <v>1</v>
      </c>
      <c r="X45" s="27">
        <v>1</v>
      </c>
      <c r="Y45" s="27">
        <v>1</v>
      </c>
      <c r="Z45" s="27" t="str">
        <v/>
      </c>
      <c r="AA45" s="27" t="str">
        <v/>
      </c>
      <c r="AB45" s="27" t="str">
        <v/>
      </c>
      <c r="AC45" s="27" t="str">
        <v/>
      </c>
      <c r="AD45" s="27" t="str">
        <v/>
      </c>
      <c r="AE45" s="27" t="str">
        <v/>
      </c>
      <c r="AF45" s="27" t="str">
        <v/>
      </c>
      <c r="AG45" s="27" t="str">
        <v/>
      </c>
      <c r="AH45" s="27" t="str">
        <v/>
      </c>
      <c r="AI45" s="27" t="str">
        <v/>
      </c>
      <c r="AJ45" s="27" t="str">
        <v/>
      </c>
      <c r="AK45" s="27" t="str">
        <v/>
      </c>
      <c r="AL45" s="27" t="str">
        <v/>
      </c>
      <c r="AM45" s="27" t="str">
        <v/>
      </c>
      <c r="AN45" s="27" t="str">
        <v/>
      </c>
      <c r="AO45" s="27" t="str">
        <v/>
      </c>
      <c r="AP45" s="28">
        <f t="shared" si="0"/>
        <v>94</v>
      </c>
    </row>
    <row r="46" spans="1:42" x14ac:dyDescent="0.2">
      <c r="A46" s="27">
        <v>48</v>
      </c>
      <c r="B46" s="27">
        <v>11</v>
      </c>
      <c r="C46" s="27">
        <v>10</v>
      </c>
      <c r="D46" s="27">
        <v>9</v>
      </c>
      <c r="E46" s="27">
        <v>8</v>
      </c>
      <c r="F46" s="27">
        <v>7</v>
      </c>
      <c r="G46" s="27">
        <v>6</v>
      </c>
      <c r="H46" s="27">
        <v>5</v>
      </c>
      <c r="I46" s="27">
        <v>5</v>
      </c>
      <c r="J46" s="27">
        <v>4</v>
      </c>
      <c r="K46" s="27">
        <v>4</v>
      </c>
      <c r="L46" s="27">
        <v>4</v>
      </c>
      <c r="M46" s="27">
        <v>3</v>
      </c>
      <c r="N46" s="27">
        <v>3</v>
      </c>
      <c r="O46" s="27">
        <v>3</v>
      </c>
      <c r="P46" s="27">
        <v>2</v>
      </c>
      <c r="Q46" s="27">
        <v>2</v>
      </c>
      <c r="R46" s="27">
        <v>2</v>
      </c>
      <c r="S46" s="27">
        <v>2</v>
      </c>
      <c r="T46" s="27">
        <v>1</v>
      </c>
      <c r="U46" s="27">
        <v>1</v>
      </c>
      <c r="V46" s="27">
        <v>1</v>
      </c>
      <c r="W46" s="27">
        <v>1</v>
      </c>
      <c r="X46" s="27">
        <v>1</v>
      </c>
      <c r="Y46" s="27">
        <v>1</v>
      </c>
      <c r="Z46" s="27" t="str">
        <v/>
      </c>
      <c r="AA46" s="27" t="str">
        <v/>
      </c>
      <c r="AB46" s="27" t="str">
        <v/>
      </c>
      <c r="AC46" s="27" t="str">
        <v/>
      </c>
      <c r="AD46" s="27" t="str">
        <v/>
      </c>
      <c r="AE46" s="27" t="str">
        <v/>
      </c>
      <c r="AF46" s="27" t="str">
        <v/>
      </c>
      <c r="AG46" s="27" t="str">
        <v/>
      </c>
      <c r="AH46" s="27" t="str">
        <v/>
      </c>
      <c r="AI46" s="27" t="str">
        <v/>
      </c>
      <c r="AJ46" s="27" t="str">
        <v/>
      </c>
      <c r="AK46" s="27" t="str">
        <v/>
      </c>
      <c r="AL46" s="27" t="str">
        <v/>
      </c>
      <c r="AM46" s="27" t="str">
        <v/>
      </c>
      <c r="AN46" s="27" t="str">
        <v/>
      </c>
      <c r="AO46" s="27" t="str">
        <v/>
      </c>
      <c r="AP46" s="28">
        <f t="shared" si="0"/>
        <v>96</v>
      </c>
    </row>
    <row r="47" spans="1:42" x14ac:dyDescent="0.2">
      <c r="A47" s="28">
        <v>49</v>
      </c>
      <c r="B47" s="27">
        <v>11</v>
      </c>
      <c r="C47" s="27">
        <v>10</v>
      </c>
      <c r="D47" s="27">
        <v>9</v>
      </c>
      <c r="E47" s="27">
        <v>8</v>
      </c>
      <c r="F47" s="27">
        <v>7</v>
      </c>
      <c r="G47" s="27">
        <v>6</v>
      </c>
      <c r="H47" s="27">
        <v>5</v>
      </c>
      <c r="I47" s="27">
        <v>5</v>
      </c>
      <c r="J47" s="27">
        <v>4</v>
      </c>
      <c r="K47" s="27">
        <v>4</v>
      </c>
      <c r="L47" s="27">
        <v>4</v>
      </c>
      <c r="M47" s="27">
        <v>3</v>
      </c>
      <c r="N47" s="27">
        <v>3</v>
      </c>
      <c r="O47" s="27">
        <v>3</v>
      </c>
      <c r="P47" s="27">
        <v>3</v>
      </c>
      <c r="Q47" s="27">
        <v>2</v>
      </c>
      <c r="R47" s="27">
        <v>2</v>
      </c>
      <c r="S47" s="27">
        <v>2</v>
      </c>
      <c r="T47" s="27">
        <v>1</v>
      </c>
      <c r="U47" s="27">
        <v>1</v>
      </c>
      <c r="V47" s="27">
        <v>1</v>
      </c>
      <c r="W47" s="27">
        <v>1</v>
      </c>
      <c r="X47" s="27">
        <v>1</v>
      </c>
      <c r="Y47" s="27">
        <v>1</v>
      </c>
      <c r="Z47" s="27">
        <v>1</v>
      </c>
      <c r="AA47" s="27" t="str">
        <v/>
      </c>
      <c r="AB47" s="27" t="str">
        <v/>
      </c>
      <c r="AC47" s="27" t="str">
        <v/>
      </c>
      <c r="AD47" s="27" t="str">
        <v/>
      </c>
      <c r="AE47" s="27" t="str">
        <v/>
      </c>
      <c r="AF47" s="27" t="str">
        <v/>
      </c>
      <c r="AG47" s="27" t="str">
        <v/>
      </c>
      <c r="AH47" s="27" t="str">
        <v/>
      </c>
      <c r="AI47" s="27" t="str">
        <v/>
      </c>
      <c r="AJ47" s="27" t="str">
        <v/>
      </c>
      <c r="AK47" s="27" t="str">
        <v/>
      </c>
      <c r="AL47" s="27" t="str">
        <v/>
      </c>
      <c r="AM47" s="27" t="str">
        <v/>
      </c>
      <c r="AN47" s="27" t="str">
        <v/>
      </c>
      <c r="AO47" s="27" t="str">
        <v/>
      </c>
      <c r="AP47" s="28">
        <f t="shared" si="0"/>
        <v>98</v>
      </c>
    </row>
    <row r="48" spans="1:42" x14ac:dyDescent="0.2">
      <c r="A48" s="27">
        <v>50</v>
      </c>
      <c r="B48" s="27">
        <v>11</v>
      </c>
      <c r="C48" s="27">
        <v>10</v>
      </c>
      <c r="D48" s="27">
        <v>9</v>
      </c>
      <c r="E48" s="27">
        <v>8</v>
      </c>
      <c r="F48" s="27">
        <v>7</v>
      </c>
      <c r="G48" s="27">
        <v>6</v>
      </c>
      <c r="H48" s="27">
        <v>5</v>
      </c>
      <c r="I48" s="27">
        <v>5</v>
      </c>
      <c r="J48" s="27">
        <v>5</v>
      </c>
      <c r="K48" s="27">
        <v>4</v>
      </c>
      <c r="L48" s="27">
        <v>4</v>
      </c>
      <c r="M48" s="27">
        <v>3</v>
      </c>
      <c r="N48" s="27">
        <v>3</v>
      </c>
      <c r="O48" s="27">
        <v>3</v>
      </c>
      <c r="P48" s="27">
        <v>3</v>
      </c>
      <c r="Q48" s="27">
        <v>2</v>
      </c>
      <c r="R48" s="27">
        <v>2</v>
      </c>
      <c r="S48" s="27">
        <v>2</v>
      </c>
      <c r="T48" s="27">
        <v>2</v>
      </c>
      <c r="U48" s="27">
        <v>1</v>
      </c>
      <c r="V48" s="27">
        <v>1</v>
      </c>
      <c r="W48" s="27">
        <v>1</v>
      </c>
      <c r="X48" s="27">
        <v>1</v>
      </c>
      <c r="Y48" s="27">
        <v>1</v>
      </c>
      <c r="Z48" s="27">
        <v>1</v>
      </c>
      <c r="AA48" s="27" t="str">
        <v/>
      </c>
      <c r="AB48" s="27" t="str">
        <v/>
      </c>
      <c r="AC48" s="27" t="str">
        <v/>
      </c>
      <c r="AD48" s="27" t="str">
        <v/>
      </c>
      <c r="AE48" s="27" t="str">
        <v/>
      </c>
      <c r="AF48" s="27" t="str">
        <v/>
      </c>
      <c r="AG48" s="27" t="str">
        <v/>
      </c>
      <c r="AH48" s="27" t="str">
        <v/>
      </c>
      <c r="AI48" s="27" t="str">
        <v/>
      </c>
      <c r="AJ48" s="27" t="str">
        <v/>
      </c>
      <c r="AK48" s="27" t="str">
        <v/>
      </c>
      <c r="AL48" s="27" t="str">
        <v/>
      </c>
      <c r="AM48" s="27" t="str">
        <v/>
      </c>
      <c r="AN48" s="27" t="str">
        <v/>
      </c>
      <c r="AO48" s="27" t="str">
        <v/>
      </c>
      <c r="AP48" s="28">
        <f t="shared" si="0"/>
        <v>100</v>
      </c>
    </row>
    <row r="49" spans="1:42" x14ac:dyDescent="0.2">
      <c r="A49" s="28">
        <v>51</v>
      </c>
      <c r="B49" s="27">
        <v>11</v>
      </c>
      <c r="C49" s="27">
        <v>10</v>
      </c>
      <c r="D49" s="27">
        <v>9</v>
      </c>
      <c r="E49" s="27">
        <v>8</v>
      </c>
      <c r="F49" s="27">
        <v>7</v>
      </c>
      <c r="G49" s="27">
        <v>6</v>
      </c>
      <c r="H49" s="27">
        <v>6</v>
      </c>
      <c r="I49" s="27">
        <v>5</v>
      </c>
      <c r="J49" s="27">
        <v>5</v>
      </c>
      <c r="K49" s="27">
        <v>4</v>
      </c>
      <c r="L49" s="27">
        <v>4</v>
      </c>
      <c r="M49" s="27">
        <v>3</v>
      </c>
      <c r="N49" s="27">
        <v>3</v>
      </c>
      <c r="O49" s="27">
        <v>3</v>
      </c>
      <c r="P49" s="27">
        <v>3</v>
      </c>
      <c r="Q49" s="27">
        <v>2</v>
      </c>
      <c r="R49" s="27">
        <v>2</v>
      </c>
      <c r="S49" s="27">
        <v>2</v>
      </c>
      <c r="T49" s="27">
        <v>2</v>
      </c>
      <c r="U49" s="27">
        <v>1</v>
      </c>
      <c r="V49" s="27">
        <v>1</v>
      </c>
      <c r="W49" s="27">
        <v>1</v>
      </c>
      <c r="X49" s="27">
        <v>1</v>
      </c>
      <c r="Y49" s="27">
        <v>1</v>
      </c>
      <c r="Z49" s="27">
        <v>1</v>
      </c>
      <c r="AA49" s="27">
        <v>1</v>
      </c>
      <c r="AB49" s="27" t="str">
        <v/>
      </c>
      <c r="AC49" s="27" t="str">
        <v/>
      </c>
      <c r="AD49" s="27" t="str">
        <v/>
      </c>
      <c r="AE49" s="27" t="str">
        <v/>
      </c>
      <c r="AF49" s="27" t="str">
        <v/>
      </c>
      <c r="AG49" s="27" t="str">
        <v/>
      </c>
      <c r="AH49" s="27" t="str">
        <v/>
      </c>
      <c r="AI49" s="27" t="str">
        <v/>
      </c>
      <c r="AJ49" s="27" t="str">
        <v/>
      </c>
      <c r="AK49" s="27" t="str">
        <v/>
      </c>
      <c r="AL49" s="27" t="str">
        <v/>
      </c>
      <c r="AM49" s="27" t="str">
        <v/>
      </c>
      <c r="AN49" s="27" t="str">
        <v/>
      </c>
      <c r="AO49" s="27" t="str">
        <v/>
      </c>
      <c r="AP49" s="28">
        <f t="shared" si="0"/>
        <v>102</v>
      </c>
    </row>
    <row r="50" spans="1:42" x14ac:dyDescent="0.2">
      <c r="A50" s="27">
        <v>52</v>
      </c>
      <c r="B50" s="27">
        <v>11</v>
      </c>
      <c r="C50" s="27">
        <v>10</v>
      </c>
      <c r="D50" s="27">
        <v>9</v>
      </c>
      <c r="E50" s="27">
        <v>8</v>
      </c>
      <c r="F50" s="27">
        <v>7</v>
      </c>
      <c r="G50" s="27">
        <v>6</v>
      </c>
      <c r="H50" s="27">
        <v>6</v>
      </c>
      <c r="I50" s="27">
        <v>5</v>
      </c>
      <c r="J50" s="27">
        <v>5</v>
      </c>
      <c r="K50" s="27">
        <v>4</v>
      </c>
      <c r="L50" s="27">
        <v>4</v>
      </c>
      <c r="M50" s="27">
        <v>4</v>
      </c>
      <c r="N50" s="27">
        <v>3</v>
      </c>
      <c r="O50" s="27">
        <v>3</v>
      </c>
      <c r="P50" s="27">
        <v>3</v>
      </c>
      <c r="Q50" s="27">
        <v>2</v>
      </c>
      <c r="R50" s="27">
        <v>2</v>
      </c>
      <c r="S50" s="27">
        <v>2</v>
      </c>
      <c r="T50" s="27">
        <v>2</v>
      </c>
      <c r="U50" s="27">
        <v>2</v>
      </c>
      <c r="V50" s="27">
        <v>1</v>
      </c>
      <c r="W50" s="27">
        <v>1</v>
      </c>
      <c r="X50" s="27">
        <v>1</v>
      </c>
      <c r="Y50" s="27">
        <v>1</v>
      </c>
      <c r="Z50" s="27">
        <v>1</v>
      </c>
      <c r="AA50" s="27">
        <v>1</v>
      </c>
      <c r="AB50" s="27" t="str">
        <v/>
      </c>
      <c r="AC50" s="27" t="str">
        <v/>
      </c>
      <c r="AD50" s="27" t="str">
        <v/>
      </c>
      <c r="AE50" s="27" t="str">
        <v/>
      </c>
      <c r="AF50" s="27" t="str">
        <v/>
      </c>
      <c r="AG50" s="27" t="str">
        <v/>
      </c>
      <c r="AH50" s="27" t="str">
        <v/>
      </c>
      <c r="AI50" s="27" t="str">
        <v/>
      </c>
      <c r="AJ50" s="27" t="str">
        <v/>
      </c>
      <c r="AK50" s="27" t="str">
        <v/>
      </c>
      <c r="AL50" s="27" t="str">
        <v/>
      </c>
      <c r="AM50" s="27" t="str">
        <v/>
      </c>
      <c r="AN50" s="27" t="str">
        <v/>
      </c>
      <c r="AO50" s="27" t="str">
        <v/>
      </c>
      <c r="AP50" s="28">
        <f t="shared" si="0"/>
        <v>104</v>
      </c>
    </row>
    <row r="51" spans="1:42" x14ac:dyDescent="0.2">
      <c r="A51" s="28">
        <v>53</v>
      </c>
      <c r="B51" s="27">
        <v>11</v>
      </c>
      <c r="C51" s="27">
        <v>10</v>
      </c>
      <c r="D51" s="27">
        <v>9</v>
      </c>
      <c r="E51" s="27">
        <v>8</v>
      </c>
      <c r="F51" s="27">
        <v>7</v>
      </c>
      <c r="G51" s="27">
        <v>7</v>
      </c>
      <c r="H51" s="27">
        <v>6</v>
      </c>
      <c r="I51" s="27">
        <v>5</v>
      </c>
      <c r="J51" s="27">
        <v>5</v>
      </c>
      <c r="K51" s="27">
        <v>4</v>
      </c>
      <c r="L51" s="27">
        <v>4</v>
      </c>
      <c r="M51" s="27">
        <v>4</v>
      </c>
      <c r="N51" s="27">
        <v>3</v>
      </c>
      <c r="O51" s="27">
        <v>3</v>
      </c>
      <c r="P51" s="27">
        <v>3</v>
      </c>
      <c r="Q51" s="27">
        <v>2</v>
      </c>
      <c r="R51" s="27">
        <v>2</v>
      </c>
      <c r="S51" s="27">
        <v>2</v>
      </c>
      <c r="T51" s="27">
        <v>2</v>
      </c>
      <c r="U51" s="27">
        <v>2</v>
      </c>
      <c r="V51" s="27">
        <v>1</v>
      </c>
      <c r="W51" s="27">
        <v>1</v>
      </c>
      <c r="X51" s="27">
        <v>1</v>
      </c>
      <c r="Y51" s="27">
        <v>1</v>
      </c>
      <c r="Z51" s="27">
        <v>1</v>
      </c>
      <c r="AA51" s="27">
        <v>1</v>
      </c>
      <c r="AB51" s="27">
        <v>1</v>
      </c>
      <c r="AC51" s="27" t="str">
        <v/>
      </c>
      <c r="AD51" s="27" t="str">
        <v/>
      </c>
      <c r="AE51" s="27" t="str">
        <v/>
      </c>
      <c r="AF51" s="27" t="str">
        <v/>
      </c>
      <c r="AG51" s="27" t="str">
        <v/>
      </c>
      <c r="AH51" s="27" t="str">
        <v/>
      </c>
      <c r="AI51" s="27" t="str">
        <v/>
      </c>
      <c r="AJ51" s="27" t="str">
        <v/>
      </c>
      <c r="AK51" s="27" t="str">
        <v/>
      </c>
      <c r="AL51" s="27" t="str">
        <v/>
      </c>
      <c r="AM51" s="27" t="str">
        <v/>
      </c>
      <c r="AN51" s="27" t="str">
        <v/>
      </c>
      <c r="AO51" s="27" t="str">
        <v/>
      </c>
      <c r="AP51" s="28">
        <f t="shared" si="0"/>
        <v>106</v>
      </c>
    </row>
    <row r="52" spans="1:42" x14ac:dyDescent="0.2">
      <c r="A52" s="27">
        <v>54</v>
      </c>
      <c r="B52" s="27">
        <v>11</v>
      </c>
      <c r="C52" s="27">
        <v>10</v>
      </c>
      <c r="D52" s="27">
        <v>9</v>
      </c>
      <c r="E52" s="27">
        <v>8</v>
      </c>
      <c r="F52" s="27">
        <v>7</v>
      </c>
      <c r="G52" s="27">
        <v>7</v>
      </c>
      <c r="H52" s="27">
        <v>6</v>
      </c>
      <c r="I52" s="27">
        <v>5</v>
      </c>
      <c r="J52" s="27">
        <v>5</v>
      </c>
      <c r="K52" s="27">
        <v>4</v>
      </c>
      <c r="L52" s="27">
        <v>4</v>
      </c>
      <c r="M52" s="27">
        <v>4</v>
      </c>
      <c r="N52" s="27">
        <v>3</v>
      </c>
      <c r="O52" s="27">
        <v>3</v>
      </c>
      <c r="P52" s="27">
        <v>3</v>
      </c>
      <c r="Q52" s="27">
        <v>3</v>
      </c>
      <c r="R52" s="27">
        <v>2</v>
      </c>
      <c r="S52" s="27">
        <v>2</v>
      </c>
      <c r="T52" s="27">
        <v>2</v>
      </c>
      <c r="U52" s="27">
        <v>2</v>
      </c>
      <c r="V52" s="27">
        <v>2</v>
      </c>
      <c r="W52" s="27">
        <v>1</v>
      </c>
      <c r="X52" s="27">
        <v>1</v>
      </c>
      <c r="Y52" s="27">
        <v>1</v>
      </c>
      <c r="Z52" s="27">
        <v>1</v>
      </c>
      <c r="AA52" s="27">
        <v>1</v>
      </c>
      <c r="AB52" s="27">
        <v>1</v>
      </c>
      <c r="AC52" s="27" t="str">
        <v/>
      </c>
      <c r="AD52" s="27" t="str">
        <v/>
      </c>
      <c r="AE52" s="27" t="str">
        <v/>
      </c>
      <c r="AF52" s="27" t="str">
        <v/>
      </c>
      <c r="AG52" s="27" t="str">
        <v/>
      </c>
      <c r="AH52" s="27" t="str">
        <v/>
      </c>
      <c r="AI52" s="27" t="str">
        <v/>
      </c>
      <c r="AJ52" s="27" t="str">
        <v/>
      </c>
      <c r="AK52" s="27" t="str">
        <v/>
      </c>
      <c r="AL52" s="27" t="str">
        <v/>
      </c>
      <c r="AM52" s="27" t="str">
        <v/>
      </c>
      <c r="AN52" s="27" t="str">
        <v/>
      </c>
      <c r="AO52" s="27" t="str">
        <v/>
      </c>
      <c r="AP52" s="28">
        <f t="shared" si="0"/>
        <v>108</v>
      </c>
    </row>
    <row r="53" spans="1:42" x14ac:dyDescent="0.2">
      <c r="A53" s="28">
        <v>55</v>
      </c>
      <c r="B53" s="27">
        <v>11</v>
      </c>
      <c r="C53" s="27">
        <v>10</v>
      </c>
      <c r="D53" s="27">
        <v>9</v>
      </c>
      <c r="E53" s="27">
        <v>8</v>
      </c>
      <c r="F53" s="27">
        <v>8</v>
      </c>
      <c r="G53" s="27">
        <v>7</v>
      </c>
      <c r="H53" s="27">
        <v>6</v>
      </c>
      <c r="I53" s="27">
        <v>5</v>
      </c>
      <c r="J53" s="27">
        <v>5</v>
      </c>
      <c r="K53" s="27">
        <v>4</v>
      </c>
      <c r="L53" s="27">
        <v>4</v>
      </c>
      <c r="M53" s="27">
        <v>4</v>
      </c>
      <c r="N53" s="27">
        <v>3</v>
      </c>
      <c r="O53" s="27">
        <v>3</v>
      </c>
      <c r="P53" s="27">
        <v>3</v>
      </c>
      <c r="Q53" s="27">
        <v>3</v>
      </c>
      <c r="R53" s="27">
        <v>2</v>
      </c>
      <c r="S53" s="27">
        <v>2</v>
      </c>
      <c r="T53" s="27">
        <v>2</v>
      </c>
      <c r="U53" s="27">
        <v>2</v>
      </c>
      <c r="V53" s="27">
        <v>2</v>
      </c>
      <c r="W53" s="27">
        <v>1</v>
      </c>
      <c r="X53" s="27">
        <v>1</v>
      </c>
      <c r="Y53" s="27">
        <v>1</v>
      </c>
      <c r="Z53" s="27">
        <v>1</v>
      </c>
      <c r="AA53" s="27">
        <v>1</v>
      </c>
      <c r="AB53" s="27">
        <v>1</v>
      </c>
      <c r="AC53" s="27">
        <v>1</v>
      </c>
      <c r="AD53" s="27" t="str">
        <v/>
      </c>
      <c r="AE53" s="27" t="str">
        <v/>
      </c>
      <c r="AF53" s="27" t="str">
        <v/>
      </c>
      <c r="AG53" s="27" t="str">
        <v/>
      </c>
      <c r="AH53" s="27" t="str">
        <v/>
      </c>
      <c r="AI53" s="27" t="str">
        <v/>
      </c>
      <c r="AJ53" s="27" t="str">
        <v/>
      </c>
      <c r="AK53" s="27" t="str">
        <v/>
      </c>
      <c r="AL53" s="27" t="str">
        <v/>
      </c>
      <c r="AM53" s="27" t="str">
        <v/>
      </c>
      <c r="AN53" s="27" t="str">
        <v/>
      </c>
      <c r="AO53" s="27" t="str">
        <v/>
      </c>
      <c r="AP53" s="28">
        <f t="shared" si="0"/>
        <v>110</v>
      </c>
    </row>
    <row r="54" spans="1:42" x14ac:dyDescent="0.2">
      <c r="A54" s="27">
        <v>56</v>
      </c>
      <c r="B54" s="27">
        <v>11</v>
      </c>
      <c r="C54" s="27">
        <v>10</v>
      </c>
      <c r="D54" s="27">
        <v>9</v>
      </c>
      <c r="E54" s="27">
        <v>8</v>
      </c>
      <c r="F54" s="27">
        <v>8</v>
      </c>
      <c r="G54" s="27">
        <v>7</v>
      </c>
      <c r="H54" s="27">
        <v>6</v>
      </c>
      <c r="I54" s="27">
        <v>5</v>
      </c>
      <c r="J54" s="27">
        <v>5</v>
      </c>
      <c r="K54" s="27">
        <v>4</v>
      </c>
      <c r="L54" s="27">
        <v>4</v>
      </c>
      <c r="M54" s="27">
        <v>4</v>
      </c>
      <c r="N54" s="27">
        <v>4</v>
      </c>
      <c r="O54" s="27">
        <v>3</v>
      </c>
      <c r="P54" s="27">
        <v>3</v>
      </c>
      <c r="Q54" s="27">
        <v>3</v>
      </c>
      <c r="R54" s="27">
        <v>2</v>
      </c>
      <c r="S54" s="27">
        <v>2</v>
      </c>
      <c r="T54" s="27">
        <v>2</v>
      </c>
      <c r="U54" s="27">
        <v>2</v>
      </c>
      <c r="V54" s="27">
        <v>2</v>
      </c>
      <c r="W54" s="27">
        <v>2</v>
      </c>
      <c r="X54" s="27">
        <v>1</v>
      </c>
      <c r="Y54" s="27">
        <v>1</v>
      </c>
      <c r="Z54" s="27">
        <v>1</v>
      </c>
      <c r="AA54" s="27">
        <v>1</v>
      </c>
      <c r="AB54" s="27">
        <v>1</v>
      </c>
      <c r="AC54" s="27">
        <v>1</v>
      </c>
      <c r="AD54" s="27" t="str">
        <v/>
      </c>
      <c r="AE54" s="27" t="str">
        <v/>
      </c>
      <c r="AF54" s="27" t="str">
        <v/>
      </c>
      <c r="AG54" s="27" t="str">
        <v/>
      </c>
      <c r="AH54" s="27" t="str">
        <v/>
      </c>
      <c r="AI54" s="27" t="str">
        <v/>
      </c>
      <c r="AJ54" s="27" t="str">
        <v/>
      </c>
      <c r="AK54" s="27" t="str">
        <v/>
      </c>
      <c r="AL54" s="27" t="str">
        <v/>
      </c>
      <c r="AM54" s="27" t="str">
        <v/>
      </c>
      <c r="AN54" s="27" t="str">
        <v/>
      </c>
      <c r="AO54" s="27" t="str">
        <v/>
      </c>
      <c r="AP54" s="28">
        <f t="shared" si="0"/>
        <v>112</v>
      </c>
    </row>
    <row r="55" spans="1:42" x14ac:dyDescent="0.2">
      <c r="A55" s="28">
        <v>57</v>
      </c>
      <c r="B55" s="27">
        <v>11</v>
      </c>
      <c r="C55" s="27">
        <v>10</v>
      </c>
      <c r="D55" s="27">
        <v>9</v>
      </c>
      <c r="E55" s="27">
        <v>8</v>
      </c>
      <c r="F55" s="27">
        <v>8</v>
      </c>
      <c r="G55" s="27">
        <v>7</v>
      </c>
      <c r="H55" s="27">
        <v>6</v>
      </c>
      <c r="I55" s="27">
        <v>5</v>
      </c>
      <c r="J55" s="27">
        <v>5</v>
      </c>
      <c r="K55" s="27">
        <v>5</v>
      </c>
      <c r="L55" s="27">
        <v>4</v>
      </c>
      <c r="M55" s="27">
        <v>4</v>
      </c>
      <c r="N55" s="27">
        <v>4</v>
      </c>
      <c r="O55" s="27">
        <v>3</v>
      </c>
      <c r="P55" s="27">
        <v>3</v>
      </c>
      <c r="Q55" s="27">
        <v>3</v>
      </c>
      <c r="R55" s="27">
        <v>2</v>
      </c>
      <c r="S55" s="27">
        <v>2</v>
      </c>
      <c r="T55" s="27">
        <v>2</v>
      </c>
      <c r="U55" s="27">
        <v>2</v>
      </c>
      <c r="V55" s="27">
        <v>2</v>
      </c>
      <c r="W55" s="27">
        <v>2</v>
      </c>
      <c r="X55" s="27">
        <v>1</v>
      </c>
      <c r="Y55" s="27">
        <v>1</v>
      </c>
      <c r="Z55" s="27">
        <v>1</v>
      </c>
      <c r="AA55" s="27">
        <v>1</v>
      </c>
      <c r="AB55" s="27">
        <v>1</v>
      </c>
      <c r="AC55" s="27">
        <v>1</v>
      </c>
      <c r="AD55" s="27">
        <v>1</v>
      </c>
      <c r="AE55" s="27" t="str">
        <v/>
      </c>
      <c r="AF55" s="27" t="str">
        <v/>
      </c>
      <c r="AG55" s="27" t="str">
        <v/>
      </c>
      <c r="AH55" s="27" t="str">
        <v/>
      </c>
      <c r="AI55" s="27" t="str">
        <v/>
      </c>
      <c r="AJ55" s="27" t="str">
        <v/>
      </c>
      <c r="AK55" s="27" t="str">
        <v/>
      </c>
      <c r="AL55" s="27" t="str">
        <v/>
      </c>
      <c r="AM55" s="27" t="str">
        <v/>
      </c>
      <c r="AN55" s="27" t="str">
        <v/>
      </c>
      <c r="AO55" s="27" t="str">
        <v/>
      </c>
      <c r="AP55" s="28">
        <f t="shared" si="0"/>
        <v>114</v>
      </c>
    </row>
    <row r="56" spans="1:42" x14ac:dyDescent="0.2">
      <c r="A56" s="27">
        <v>58</v>
      </c>
      <c r="B56" s="27">
        <v>11</v>
      </c>
      <c r="C56" s="27">
        <v>10</v>
      </c>
      <c r="D56" s="27">
        <v>9</v>
      </c>
      <c r="E56" s="27">
        <v>8</v>
      </c>
      <c r="F56" s="27">
        <v>8</v>
      </c>
      <c r="G56" s="27">
        <v>7</v>
      </c>
      <c r="H56" s="27">
        <v>6</v>
      </c>
      <c r="I56" s="27">
        <v>6</v>
      </c>
      <c r="J56" s="27">
        <v>5</v>
      </c>
      <c r="K56" s="27">
        <v>5</v>
      </c>
      <c r="L56" s="27">
        <v>4</v>
      </c>
      <c r="M56" s="27">
        <v>4</v>
      </c>
      <c r="N56" s="27">
        <v>4</v>
      </c>
      <c r="O56" s="27">
        <v>4</v>
      </c>
      <c r="P56" s="27">
        <v>3</v>
      </c>
      <c r="Q56" s="27">
        <v>3</v>
      </c>
      <c r="R56" s="27">
        <v>2</v>
      </c>
      <c r="S56" s="27">
        <v>2</v>
      </c>
      <c r="T56" s="27">
        <v>2</v>
      </c>
      <c r="U56" s="27">
        <v>2</v>
      </c>
      <c r="V56" s="27">
        <v>2</v>
      </c>
      <c r="W56" s="27">
        <v>2</v>
      </c>
      <c r="X56" s="27">
        <v>1</v>
      </c>
      <c r="Y56" s="27">
        <v>1</v>
      </c>
      <c r="Z56" s="27">
        <v>1</v>
      </c>
      <c r="AA56" s="27">
        <v>1</v>
      </c>
      <c r="AB56" s="27">
        <v>1</v>
      </c>
      <c r="AC56" s="27">
        <v>1</v>
      </c>
      <c r="AD56" s="27">
        <v>1</v>
      </c>
      <c r="AE56" s="27" t="str">
        <v/>
      </c>
      <c r="AF56" s="27" t="str">
        <v/>
      </c>
      <c r="AG56" s="27" t="str">
        <v/>
      </c>
      <c r="AH56" s="27" t="str">
        <v/>
      </c>
      <c r="AI56" s="27" t="str">
        <v/>
      </c>
      <c r="AJ56" s="27" t="str">
        <v/>
      </c>
      <c r="AK56" s="27" t="str">
        <v/>
      </c>
      <c r="AL56" s="27" t="str">
        <v/>
      </c>
      <c r="AM56" s="27" t="str">
        <v/>
      </c>
      <c r="AN56" s="27" t="str">
        <v/>
      </c>
      <c r="AO56" s="27" t="str">
        <v/>
      </c>
      <c r="AP56" s="28">
        <f t="shared" si="0"/>
        <v>116</v>
      </c>
    </row>
    <row r="57" spans="1:42" x14ac:dyDescent="0.2">
      <c r="A57" s="28">
        <v>59</v>
      </c>
      <c r="B57" s="27">
        <v>11</v>
      </c>
      <c r="C57" s="27">
        <v>10</v>
      </c>
      <c r="D57" s="27">
        <v>9</v>
      </c>
      <c r="E57" s="27">
        <v>8</v>
      </c>
      <c r="F57" s="27">
        <v>8</v>
      </c>
      <c r="G57" s="27">
        <v>7</v>
      </c>
      <c r="H57" s="27">
        <v>6</v>
      </c>
      <c r="I57" s="27">
        <v>6</v>
      </c>
      <c r="J57" s="27">
        <v>5</v>
      </c>
      <c r="K57" s="27">
        <v>5</v>
      </c>
      <c r="L57" s="27">
        <v>4</v>
      </c>
      <c r="M57" s="27">
        <v>4</v>
      </c>
      <c r="N57" s="27">
        <v>4</v>
      </c>
      <c r="O57" s="27">
        <v>4</v>
      </c>
      <c r="P57" s="27">
        <v>3</v>
      </c>
      <c r="Q57" s="27">
        <v>3</v>
      </c>
      <c r="R57" s="27">
        <v>2</v>
      </c>
      <c r="S57" s="27">
        <v>2</v>
      </c>
      <c r="T57" s="27">
        <v>2</v>
      </c>
      <c r="U57" s="27">
        <v>2</v>
      </c>
      <c r="V57" s="27">
        <v>2</v>
      </c>
      <c r="W57" s="27">
        <v>2</v>
      </c>
      <c r="X57" s="27">
        <v>2</v>
      </c>
      <c r="Y57" s="27">
        <v>1</v>
      </c>
      <c r="Z57" s="27">
        <v>1</v>
      </c>
      <c r="AA57" s="27">
        <v>1</v>
      </c>
      <c r="AB57" s="27">
        <v>1</v>
      </c>
      <c r="AC57" s="27">
        <v>1</v>
      </c>
      <c r="AD57" s="27">
        <v>1</v>
      </c>
      <c r="AE57" s="27">
        <v>1</v>
      </c>
      <c r="AF57" s="27" t="str">
        <v/>
      </c>
      <c r="AG57" s="27" t="str">
        <v/>
      </c>
      <c r="AH57" s="27" t="str">
        <v/>
      </c>
      <c r="AI57" s="27" t="str">
        <v/>
      </c>
      <c r="AJ57" s="27" t="str">
        <v/>
      </c>
      <c r="AK57" s="27" t="str">
        <v/>
      </c>
      <c r="AL57" s="27" t="str">
        <v/>
      </c>
      <c r="AM57" s="27" t="str">
        <v/>
      </c>
      <c r="AN57" s="27" t="str">
        <v/>
      </c>
      <c r="AO57" s="27" t="str">
        <v/>
      </c>
      <c r="AP57" s="28">
        <f t="shared" si="0"/>
        <v>118</v>
      </c>
    </row>
    <row r="58" spans="1:42" x14ac:dyDescent="0.2">
      <c r="A58" s="27">
        <v>60</v>
      </c>
      <c r="B58" s="27">
        <v>11</v>
      </c>
      <c r="C58" s="27">
        <v>10</v>
      </c>
      <c r="D58" s="27">
        <v>9</v>
      </c>
      <c r="E58" s="27">
        <v>8</v>
      </c>
      <c r="F58" s="27">
        <v>8</v>
      </c>
      <c r="G58" s="27">
        <v>7</v>
      </c>
      <c r="H58" s="27">
        <v>6</v>
      </c>
      <c r="I58" s="27">
        <v>6</v>
      </c>
      <c r="J58" s="27">
        <v>5</v>
      </c>
      <c r="K58" s="27">
        <v>5</v>
      </c>
      <c r="L58" s="27">
        <v>4</v>
      </c>
      <c r="M58" s="27">
        <v>4</v>
      </c>
      <c r="N58" s="27">
        <v>4</v>
      </c>
      <c r="O58" s="27">
        <v>4</v>
      </c>
      <c r="P58" s="27">
        <v>3</v>
      </c>
      <c r="Q58" s="27">
        <v>3</v>
      </c>
      <c r="R58" s="27">
        <v>3</v>
      </c>
      <c r="S58" s="27">
        <v>3</v>
      </c>
      <c r="T58" s="27">
        <v>2</v>
      </c>
      <c r="U58" s="27">
        <v>2</v>
      </c>
      <c r="V58" s="27">
        <v>2</v>
      </c>
      <c r="W58" s="27">
        <v>2</v>
      </c>
      <c r="X58" s="27">
        <v>2</v>
      </c>
      <c r="Y58" s="27">
        <v>1</v>
      </c>
      <c r="Z58" s="27">
        <v>1</v>
      </c>
      <c r="AA58" s="27">
        <v>1</v>
      </c>
      <c r="AB58" s="27">
        <v>1</v>
      </c>
      <c r="AC58" s="27">
        <v>1</v>
      </c>
      <c r="AD58" s="27">
        <v>1</v>
      </c>
      <c r="AE58" s="27">
        <v>1</v>
      </c>
      <c r="AF58" s="27" t="str">
        <v/>
      </c>
      <c r="AG58" s="27" t="str">
        <v/>
      </c>
      <c r="AH58" s="27" t="str">
        <v/>
      </c>
      <c r="AI58" s="27" t="str">
        <v/>
      </c>
      <c r="AJ58" s="27" t="str">
        <v/>
      </c>
      <c r="AK58" s="27" t="str">
        <v/>
      </c>
      <c r="AL58" s="27" t="str">
        <v/>
      </c>
      <c r="AM58" s="27" t="str">
        <v/>
      </c>
      <c r="AN58" s="27" t="str">
        <v/>
      </c>
      <c r="AO58" s="27" t="str">
        <v/>
      </c>
      <c r="AP58" s="28">
        <f t="shared" si="0"/>
        <v>120</v>
      </c>
    </row>
    <row r="59" spans="1:42" x14ac:dyDescent="0.2">
      <c r="A59" s="28">
        <v>61</v>
      </c>
      <c r="B59" s="27">
        <v>11</v>
      </c>
      <c r="C59" s="27">
        <v>10</v>
      </c>
      <c r="D59" s="27">
        <v>9</v>
      </c>
      <c r="E59" s="27">
        <v>8</v>
      </c>
      <c r="F59" s="27">
        <v>8</v>
      </c>
      <c r="G59" s="27">
        <v>7</v>
      </c>
      <c r="H59" s="27">
        <v>7</v>
      </c>
      <c r="I59" s="27">
        <v>6</v>
      </c>
      <c r="J59" s="27">
        <v>5</v>
      </c>
      <c r="K59" s="27">
        <v>5</v>
      </c>
      <c r="L59" s="27">
        <v>4</v>
      </c>
      <c r="M59" s="27">
        <v>4</v>
      </c>
      <c r="N59" s="27">
        <v>4</v>
      </c>
      <c r="O59" s="27">
        <v>4</v>
      </c>
      <c r="P59" s="27">
        <v>3</v>
      </c>
      <c r="Q59" s="27">
        <v>3</v>
      </c>
      <c r="R59" s="27">
        <v>3</v>
      </c>
      <c r="S59" s="27">
        <v>3</v>
      </c>
      <c r="T59" s="27">
        <v>2</v>
      </c>
      <c r="U59" s="27">
        <v>2</v>
      </c>
      <c r="V59" s="27">
        <v>2</v>
      </c>
      <c r="W59" s="27">
        <v>2</v>
      </c>
      <c r="X59" s="27">
        <v>2</v>
      </c>
      <c r="Y59" s="27">
        <v>1</v>
      </c>
      <c r="Z59" s="27">
        <v>1</v>
      </c>
      <c r="AA59" s="27">
        <v>1</v>
      </c>
      <c r="AB59" s="27">
        <v>1</v>
      </c>
      <c r="AC59" s="27">
        <v>1</v>
      </c>
      <c r="AD59" s="27">
        <v>1</v>
      </c>
      <c r="AE59" s="27">
        <v>1</v>
      </c>
      <c r="AF59" s="27">
        <v>1</v>
      </c>
      <c r="AG59" s="27" t="str">
        <v/>
      </c>
      <c r="AH59" s="27" t="str">
        <v/>
      </c>
      <c r="AI59" s="27" t="str">
        <v/>
      </c>
      <c r="AJ59" s="27" t="str">
        <v/>
      </c>
      <c r="AK59" s="27" t="str">
        <v/>
      </c>
      <c r="AL59" s="27" t="str">
        <v/>
      </c>
      <c r="AM59" s="27" t="str">
        <v/>
      </c>
      <c r="AN59" s="27" t="str">
        <v/>
      </c>
      <c r="AO59" s="27" t="str">
        <v/>
      </c>
      <c r="AP59" s="28">
        <f t="shared" si="0"/>
        <v>122</v>
      </c>
    </row>
    <row r="60" spans="1:42" x14ac:dyDescent="0.2">
      <c r="A60" s="27">
        <v>62</v>
      </c>
      <c r="B60" s="27">
        <v>11</v>
      </c>
      <c r="C60" s="27">
        <v>10</v>
      </c>
      <c r="D60" s="27">
        <v>9</v>
      </c>
      <c r="E60" s="27">
        <v>8</v>
      </c>
      <c r="F60" s="27">
        <v>8</v>
      </c>
      <c r="G60" s="27">
        <v>7</v>
      </c>
      <c r="H60" s="27">
        <v>7</v>
      </c>
      <c r="I60" s="27">
        <v>6</v>
      </c>
      <c r="J60" s="27">
        <v>5</v>
      </c>
      <c r="K60" s="27">
        <v>5</v>
      </c>
      <c r="L60" s="27">
        <v>4</v>
      </c>
      <c r="M60" s="27">
        <v>4</v>
      </c>
      <c r="N60" s="27">
        <v>4</v>
      </c>
      <c r="O60" s="27">
        <v>4</v>
      </c>
      <c r="P60" s="27">
        <v>3</v>
      </c>
      <c r="Q60" s="27">
        <v>3</v>
      </c>
      <c r="R60" s="27">
        <v>3</v>
      </c>
      <c r="S60" s="27">
        <v>3</v>
      </c>
      <c r="T60" s="27">
        <v>2</v>
      </c>
      <c r="U60" s="27">
        <v>2</v>
      </c>
      <c r="V60" s="27">
        <v>2</v>
      </c>
      <c r="W60" s="27">
        <v>2</v>
      </c>
      <c r="X60" s="27">
        <v>2</v>
      </c>
      <c r="Y60" s="27">
        <v>2</v>
      </c>
      <c r="Z60" s="27">
        <v>2</v>
      </c>
      <c r="AA60" s="27">
        <v>1</v>
      </c>
      <c r="AB60" s="27">
        <v>1</v>
      </c>
      <c r="AC60" s="27">
        <v>1</v>
      </c>
      <c r="AD60" s="27">
        <v>1</v>
      </c>
      <c r="AE60" s="27">
        <v>1</v>
      </c>
      <c r="AF60" s="27">
        <v>1</v>
      </c>
      <c r="AG60" s="27" t="str">
        <v/>
      </c>
      <c r="AH60" s="27" t="str">
        <v/>
      </c>
      <c r="AI60" s="27" t="str">
        <v/>
      </c>
      <c r="AJ60" s="27" t="str">
        <v/>
      </c>
      <c r="AK60" s="27" t="str">
        <v/>
      </c>
      <c r="AL60" s="27" t="str">
        <v/>
      </c>
      <c r="AM60" s="27" t="str">
        <v/>
      </c>
      <c r="AN60" s="27" t="str">
        <v/>
      </c>
      <c r="AO60" s="27" t="str">
        <v/>
      </c>
      <c r="AP60" s="28">
        <f t="shared" si="0"/>
        <v>124</v>
      </c>
    </row>
    <row r="61" spans="1:42" x14ac:dyDescent="0.2">
      <c r="A61" s="28">
        <v>63</v>
      </c>
      <c r="B61" s="27">
        <v>11</v>
      </c>
      <c r="C61" s="27">
        <v>10</v>
      </c>
      <c r="D61" s="27">
        <v>9</v>
      </c>
      <c r="E61" s="27">
        <v>8</v>
      </c>
      <c r="F61" s="27">
        <v>8</v>
      </c>
      <c r="G61" s="27">
        <v>7</v>
      </c>
      <c r="H61" s="27">
        <v>7</v>
      </c>
      <c r="I61" s="27">
        <v>6</v>
      </c>
      <c r="J61" s="27">
        <v>5</v>
      </c>
      <c r="K61" s="27">
        <v>5</v>
      </c>
      <c r="L61" s="27">
        <v>5</v>
      </c>
      <c r="M61" s="27">
        <v>4</v>
      </c>
      <c r="N61" s="27">
        <v>4</v>
      </c>
      <c r="O61" s="27">
        <v>4</v>
      </c>
      <c r="P61" s="27">
        <v>3</v>
      </c>
      <c r="Q61" s="27">
        <v>3</v>
      </c>
      <c r="R61" s="27">
        <v>3</v>
      </c>
      <c r="S61" s="27">
        <v>3</v>
      </c>
      <c r="T61" s="27">
        <v>2</v>
      </c>
      <c r="U61" s="27">
        <v>2</v>
      </c>
      <c r="V61" s="27">
        <v>2</v>
      </c>
      <c r="W61" s="27">
        <v>2</v>
      </c>
      <c r="X61" s="27">
        <v>2</v>
      </c>
      <c r="Y61" s="27">
        <v>2</v>
      </c>
      <c r="Z61" s="27">
        <v>2</v>
      </c>
      <c r="AA61" s="27">
        <v>1</v>
      </c>
      <c r="AB61" s="27">
        <v>1</v>
      </c>
      <c r="AC61" s="27">
        <v>1</v>
      </c>
      <c r="AD61" s="27">
        <v>1</v>
      </c>
      <c r="AE61" s="27">
        <v>1</v>
      </c>
      <c r="AF61" s="27">
        <v>1</v>
      </c>
      <c r="AG61" s="27">
        <v>1</v>
      </c>
      <c r="AH61" s="27" t="str">
        <v/>
      </c>
      <c r="AI61" s="27" t="str">
        <v/>
      </c>
      <c r="AJ61" s="27" t="str">
        <v/>
      </c>
      <c r="AK61" s="27" t="str">
        <v/>
      </c>
      <c r="AL61" s="27" t="str">
        <v/>
      </c>
      <c r="AM61" s="27" t="str">
        <v/>
      </c>
      <c r="AN61" s="27" t="str">
        <v/>
      </c>
      <c r="AO61" s="27" t="str">
        <v/>
      </c>
      <c r="AP61" s="28">
        <f t="shared" si="0"/>
        <v>126</v>
      </c>
    </row>
    <row r="62" spans="1:42" x14ac:dyDescent="0.2">
      <c r="A62" s="27">
        <v>64</v>
      </c>
      <c r="B62" s="27">
        <v>11</v>
      </c>
      <c r="C62" s="27">
        <v>10</v>
      </c>
      <c r="D62" s="27">
        <v>9</v>
      </c>
      <c r="E62" s="27">
        <v>8</v>
      </c>
      <c r="F62" s="27">
        <v>8</v>
      </c>
      <c r="G62" s="27">
        <v>7</v>
      </c>
      <c r="H62" s="27">
        <v>7</v>
      </c>
      <c r="I62" s="27">
        <v>6</v>
      </c>
      <c r="J62" s="27">
        <v>5</v>
      </c>
      <c r="K62" s="27">
        <v>5</v>
      </c>
      <c r="L62" s="27">
        <v>5</v>
      </c>
      <c r="M62" s="27">
        <v>4</v>
      </c>
      <c r="N62" s="27">
        <v>4</v>
      </c>
      <c r="O62" s="27">
        <v>4</v>
      </c>
      <c r="P62" s="27">
        <v>4</v>
      </c>
      <c r="Q62" s="27">
        <v>3</v>
      </c>
      <c r="R62" s="27">
        <v>3</v>
      </c>
      <c r="S62" s="27">
        <v>3</v>
      </c>
      <c r="T62" s="27">
        <v>3</v>
      </c>
      <c r="U62" s="27">
        <v>2</v>
      </c>
      <c r="V62" s="27">
        <v>2</v>
      </c>
      <c r="W62" s="27">
        <v>2</v>
      </c>
      <c r="X62" s="27">
        <v>2</v>
      </c>
      <c r="Y62" s="27">
        <v>2</v>
      </c>
      <c r="Z62" s="27">
        <v>2</v>
      </c>
      <c r="AA62" s="27">
        <v>1</v>
      </c>
      <c r="AB62" s="27">
        <v>1</v>
      </c>
      <c r="AC62" s="27">
        <v>1</v>
      </c>
      <c r="AD62" s="27">
        <v>1</v>
      </c>
      <c r="AE62" s="27">
        <v>1</v>
      </c>
      <c r="AF62" s="27">
        <v>1</v>
      </c>
      <c r="AG62" s="27">
        <v>1</v>
      </c>
      <c r="AH62" s="27" t="str">
        <v/>
      </c>
      <c r="AI62" s="27" t="str">
        <v/>
      </c>
      <c r="AJ62" s="27" t="str">
        <v/>
      </c>
      <c r="AK62" s="27" t="str">
        <v/>
      </c>
      <c r="AL62" s="27" t="str">
        <v/>
      </c>
      <c r="AM62" s="27" t="str">
        <v/>
      </c>
      <c r="AN62" s="27" t="str">
        <v/>
      </c>
      <c r="AO62" s="27" t="str">
        <v/>
      </c>
      <c r="AP62" s="28">
        <f t="shared" si="0"/>
        <v>128</v>
      </c>
    </row>
    <row r="63" spans="1:42" x14ac:dyDescent="0.2">
      <c r="A63" s="28">
        <v>65</v>
      </c>
      <c r="B63" s="27">
        <v>11</v>
      </c>
      <c r="C63" s="27">
        <v>10</v>
      </c>
      <c r="D63" s="27">
        <v>9</v>
      </c>
      <c r="E63" s="27">
        <v>8</v>
      </c>
      <c r="F63" s="27">
        <v>8</v>
      </c>
      <c r="G63" s="27">
        <v>7</v>
      </c>
      <c r="H63" s="27">
        <v>7</v>
      </c>
      <c r="I63" s="27">
        <v>6</v>
      </c>
      <c r="J63" s="27">
        <v>6</v>
      </c>
      <c r="K63" s="27">
        <v>5</v>
      </c>
      <c r="L63" s="27">
        <v>5</v>
      </c>
      <c r="M63" s="27">
        <v>4</v>
      </c>
      <c r="N63" s="27">
        <v>4</v>
      </c>
      <c r="O63" s="27">
        <v>4</v>
      </c>
      <c r="P63" s="27">
        <v>4</v>
      </c>
      <c r="Q63" s="27">
        <v>3</v>
      </c>
      <c r="R63" s="27">
        <v>3</v>
      </c>
      <c r="S63" s="27">
        <v>3</v>
      </c>
      <c r="T63" s="27">
        <v>3</v>
      </c>
      <c r="U63" s="27">
        <v>2</v>
      </c>
      <c r="V63" s="27">
        <v>2</v>
      </c>
      <c r="W63" s="27">
        <v>2</v>
      </c>
      <c r="X63" s="27">
        <v>2</v>
      </c>
      <c r="Y63" s="27">
        <v>2</v>
      </c>
      <c r="Z63" s="27">
        <v>2</v>
      </c>
      <c r="AA63" s="27">
        <v>1</v>
      </c>
      <c r="AB63" s="27">
        <v>1</v>
      </c>
      <c r="AC63" s="27">
        <v>1</v>
      </c>
      <c r="AD63" s="27">
        <v>1</v>
      </c>
      <c r="AE63" s="27">
        <v>1</v>
      </c>
      <c r="AF63" s="27">
        <v>1</v>
      </c>
      <c r="AG63" s="27">
        <v>1</v>
      </c>
      <c r="AH63" s="27">
        <v>1</v>
      </c>
      <c r="AI63" s="27" t="str">
        <v/>
      </c>
      <c r="AJ63" s="27" t="str">
        <v/>
      </c>
      <c r="AK63" s="27" t="str">
        <v/>
      </c>
      <c r="AL63" s="27" t="str">
        <v/>
      </c>
      <c r="AM63" s="27" t="str">
        <v/>
      </c>
      <c r="AN63" s="27" t="str">
        <v/>
      </c>
      <c r="AO63" s="27" t="str">
        <v/>
      </c>
      <c r="AP63" s="28">
        <f t="shared" si="0"/>
        <v>130</v>
      </c>
    </row>
    <row r="64" spans="1:42" x14ac:dyDescent="0.2">
      <c r="A64" s="27">
        <v>66</v>
      </c>
      <c r="B64" s="27">
        <v>11</v>
      </c>
      <c r="C64" s="27">
        <v>10</v>
      </c>
      <c r="D64" s="27">
        <v>9</v>
      </c>
      <c r="E64" s="27">
        <v>8</v>
      </c>
      <c r="F64" s="27">
        <v>8</v>
      </c>
      <c r="G64" s="27">
        <v>7</v>
      </c>
      <c r="H64" s="27">
        <v>7</v>
      </c>
      <c r="I64" s="27">
        <v>6</v>
      </c>
      <c r="J64" s="27">
        <v>6</v>
      </c>
      <c r="K64" s="27">
        <v>5</v>
      </c>
      <c r="L64" s="27">
        <v>5</v>
      </c>
      <c r="M64" s="27">
        <v>4</v>
      </c>
      <c r="N64" s="27">
        <v>4</v>
      </c>
      <c r="O64" s="27">
        <v>4</v>
      </c>
      <c r="P64" s="27">
        <v>4</v>
      </c>
      <c r="Q64" s="27">
        <v>3</v>
      </c>
      <c r="R64" s="27">
        <v>3</v>
      </c>
      <c r="S64" s="27">
        <v>3</v>
      </c>
      <c r="T64" s="27">
        <v>3</v>
      </c>
      <c r="U64" s="27">
        <v>3</v>
      </c>
      <c r="V64" s="27">
        <v>2</v>
      </c>
      <c r="W64" s="27">
        <v>2</v>
      </c>
      <c r="X64" s="27">
        <v>2</v>
      </c>
      <c r="Y64" s="27">
        <v>2</v>
      </c>
      <c r="Z64" s="27">
        <v>2</v>
      </c>
      <c r="AA64" s="27">
        <v>2</v>
      </c>
      <c r="AB64" s="27">
        <v>1</v>
      </c>
      <c r="AC64" s="27">
        <v>1</v>
      </c>
      <c r="AD64" s="27">
        <v>1</v>
      </c>
      <c r="AE64" s="27">
        <v>1</v>
      </c>
      <c r="AF64" s="27">
        <v>1</v>
      </c>
      <c r="AG64" s="27">
        <v>1</v>
      </c>
      <c r="AH64" s="27">
        <v>1</v>
      </c>
      <c r="AI64" s="27" t="str">
        <v/>
      </c>
      <c r="AJ64" s="27" t="str">
        <v/>
      </c>
      <c r="AK64" s="27" t="str">
        <v/>
      </c>
      <c r="AL64" s="27" t="str">
        <v/>
      </c>
      <c r="AM64" s="27" t="str">
        <v/>
      </c>
      <c r="AN64" s="27" t="str">
        <v/>
      </c>
      <c r="AO64" s="27" t="str">
        <v/>
      </c>
      <c r="AP64" s="28">
        <f t="shared" si="0"/>
        <v>132</v>
      </c>
    </row>
    <row r="65" spans="1:42" x14ac:dyDescent="0.2">
      <c r="A65" s="28">
        <v>67</v>
      </c>
      <c r="B65" s="27">
        <v>11</v>
      </c>
      <c r="C65" s="27">
        <v>10</v>
      </c>
      <c r="D65" s="27">
        <v>9</v>
      </c>
      <c r="E65" s="27">
        <v>8</v>
      </c>
      <c r="F65" s="27">
        <v>8</v>
      </c>
      <c r="G65" s="27">
        <v>7</v>
      </c>
      <c r="H65" s="27">
        <v>7</v>
      </c>
      <c r="I65" s="27">
        <v>6</v>
      </c>
      <c r="J65" s="27">
        <v>6</v>
      </c>
      <c r="K65" s="27">
        <v>5</v>
      </c>
      <c r="L65" s="27">
        <v>5</v>
      </c>
      <c r="M65" s="27">
        <v>4</v>
      </c>
      <c r="N65" s="27">
        <v>4</v>
      </c>
      <c r="O65" s="27">
        <v>4</v>
      </c>
      <c r="P65" s="27">
        <v>4</v>
      </c>
      <c r="Q65" s="27">
        <v>3</v>
      </c>
      <c r="R65" s="27">
        <v>3</v>
      </c>
      <c r="S65" s="27">
        <v>3</v>
      </c>
      <c r="T65" s="27">
        <v>3</v>
      </c>
      <c r="U65" s="27">
        <v>3</v>
      </c>
      <c r="V65" s="27">
        <v>3</v>
      </c>
      <c r="W65" s="27">
        <v>2</v>
      </c>
      <c r="X65" s="27">
        <v>2</v>
      </c>
      <c r="Y65" s="27">
        <v>2</v>
      </c>
      <c r="Z65" s="27">
        <v>2</v>
      </c>
      <c r="AA65" s="27">
        <v>2</v>
      </c>
      <c r="AB65" s="27">
        <v>1</v>
      </c>
      <c r="AC65" s="27">
        <v>1</v>
      </c>
      <c r="AD65" s="27">
        <v>1</v>
      </c>
      <c r="AE65" s="27">
        <v>1</v>
      </c>
      <c r="AF65" s="27">
        <v>1</v>
      </c>
      <c r="AG65" s="27">
        <v>1</v>
      </c>
      <c r="AH65" s="27">
        <v>1</v>
      </c>
      <c r="AI65" s="27">
        <v>1</v>
      </c>
      <c r="AJ65" s="27" t="str">
        <v/>
      </c>
      <c r="AK65" s="27" t="str">
        <v/>
      </c>
      <c r="AL65" s="27" t="str">
        <v/>
      </c>
      <c r="AM65" s="27" t="str">
        <v/>
      </c>
      <c r="AN65" s="27" t="str">
        <v/>
      </c>
      <c r="AO65" s="27" t="str">
        <v/>
      </c>
      <c r="AP65" s="28">
        <f t="shared" si="0"/>
        <v>134</v>
      </c>
    </row>
    <row r="66" spans="1:42" x14ac:dyDescent="0.2">
      <c r="A66" s="27">
        <v>68</v>
      </c>
      <c r="B66" s="27">
        <v>11</v>
      </c>
      <c r="C66" s="27">
        <v>10</v>
      </c>
      <c r="D66" s="27">
        <v>9</v>
      </c>
      <c r="E66" s="27">
        <v>8</v>
      </c>
      <c r="F66" s="27">
        <v>8</v>
      </c>
      <c r="G66" s="27">
        <v>7</v>
      </c>
      <c r="H66" s="27">
        <v>7</v>
      </c>
      <c r="I66" s="27">
        <v>6</v>
      </c>
      <c r="J66" s="27">
        <v>6</v>
      </c>
      <c r="K66" s="27">
        <v>5</v>
      </c>
      <c r="L66" s="27">
        <v>5</v>
      </c>
      <c r="M66" s="27">
        <v>4</v>
      </c>
      <c r="N66" s="27">
        <v>4</v>
      </c>
      <c r="O66" s="27">
        <v>4</v>
      </c>
      <c r="P66" s="27">
        <v>4</v>
      </c>
      <c r="Q66" s="27">
        <v>4</v>
      </c>
      <c r="R66" s="27">
        <v>4</v>
      </c>
      <c r="S66" s="27">
        <v>3</v>
      </c>
      <c r="T66" s="27">
        <v>3</v>
      </c>
      <c r="U66" s="27">
        <v>3</v>
      </c>
      <c r="V66" s="27">
        <v>3</v>
      </c>
      <c r="W66" s="27">
        <v>2</v>
      </c>
      <c r="X66" s="27">
        <v>2</v>
      </c>
      <c r="Y66" s="27">
        <v>2</v>
      </c>
      <c r="Z66" s="27">
        <v>2</v>
      </c>
      <c r="AA66" s="27">
        <v>2</v>
      </c>
      <c r="AB66" s="27">
        <v>1</v>
      </c>
      <c r="AC66" s="27">
        <v>1</v>
      </c>
      <c r="AD66" s="27">
        <v>1</v>
      </c>
      <c r="AE66" s="27">
        <v>1</v>
      </c>
      <c r="AF66" s="27">
        <v>1</v>
      </c>
      <c r="AG66" s="27">
        <v>1</v>
      </c>
      <c r="AH66" s="27">
        <v>1</v>
      </c>
      <c r="AI66" s="27">
        <v>1</v>
      </c>
      <c r="AJ66" s="27" t="str">
        <v/>
      </c>
      <c r="AK66" s="27" t="str">
        <v/>
      </c>
      <c r="AL66" s="27" t="str">
        <v/>
      </c>
      <c r="AM66" s="27" t="str">
        <v/>
      </c>
      <c r="AN66" s="27" t="str">
        <v/>
      </c>
      <c r="AO66" s="27" t="str">
        <v/>
      </c>
      <c r="AP66" s="28">
        <f t="shared" ref="AP66:AP78" si="1">SUM(B66:AO66)</f>
        <v>136</v>
      </c>
    </row>
    <row r="67" spans="1:42" x14ac:dyDescent="0.2">
      <c r="A67" s="28">
        <v>69</v>
      </c>
      <c r="B67" s="27">
        <v>11</v>
      </c>
      <c r="C67" s="27">
        <v>10</v>
      </c>
      <c r="D67" s="27">
        <v>9</v>
      </c>
      <c r="E67" s="27">
        <v>8</v>
      </c>
      <c r="F67" s="27">
        <v>8</v>
      </c>
      <c r="G67" s="27">
        <v>7</v>
      </c>
      <c r="H67" s="27">
        <v>7</v>
      </c>
      <c r="I67" s="27">
        <v>6</v>
      </c>
      <c r="J67" s="27">
        <v>6</v>
      </c>
      <c r="K67" s="27">
        <v>5</v>
      </c>
      <c r="L67" s="27">
        <v>5</v>
      </c>
      <c r="M67" s="27">
        <v>4</v>
      </c>
      <c r="N67" s="27">
        <v>4</v>
      </c>
      <c r="O67" s="27">
        <v>4</v>
      </c>
      <c r="P67" s="27">
        <v>4</v>
      </c>
      <c r="Q67" s="27">
        <v>4</v>
      </c>
      <c r="R67" s="27">
        <v>4</v>
      </c>
      <c r="S67" s="27">
        <v>3</v>
      </c>
      <c r="T67" s="27">
        <v>3</v>
      </c>
      <c r="U67" s="27">
        <v>3</v>
      </c>
      <c r="V67" s="27">
        <v>3</v>
      </c>
      <c r="W67" s="27">
        <v>2</v>
      </c>
      <c r="X67" s="27">
        <v>2</v>
      </c>
      <c r="Y67" s="27">
        <v>2</v>
      </c>
      <c r="Z67" s="27">
        <v>2</v>
      </c>
      <c r="AA67" s="27">
        <v>2</v>
      </c>
      <c r="AB67" s="27">
        <v>2</v>
      </c>
      <c r="AC67" s="27">
        <v>1</v>
      </c>
      <c r="AD67" s="27">
        <v>1</v>
      </c>
      <c r="AE67" s="27">
        <v>1</v>
      </c>
      <c r="AF67" s="27">
        <v>1</v>
      </c>
      <c r="AG67" s="27">
        <v>1</v>
      </c>
      <c r="AH67" s="27">
        <v>1</v>
      </c>
      <c r="AI67" s="27">
        <v>1</v>
      </c>
      <c r="AJ67" s="27">
        <v>1</v>
      </c>
      <c r="AK67" s="27" t="str">
        <v/>
      </c>
      <c r="AL67" s="27" t="str">
        <v/>
      </c>
      <c r="AM67" s="27" t="str">
        <v/>
      </c>
      <c r="AN67" s="27" t="str">
        <v/>
      </c>
      <c r="AO67" s="27" t="str">
        <v/>
      </c>
      <c r="AP67" s="28">
        <f t="shared" si="1"/>
        <v>138</v>
      </c>
    </row>
    <row r="68" spans="1:42" x14ac:dyDescent="0.2">
      <c r="A68" s="27">
        <v>70</v>
      </c>
      <c r="B68" s="27">
        <v>11</v>
      </c>
      <c r="C68" s="27">
        <v>10</v>
      </c>
      <c r="D68" s="27">
        <v>9</v>
      </c>
      <c r="E68" s="27">
        <v>8</v>
      </c>
      <c r="F68" s="27">
        <v>8</v>
      </c>
      <c r="G68" s="27">
        <v>7</v>
      </c>
      <c r="H68" s="27">
        <v>7</v>
      </c>
      <c r="I68" s="27">
        <v>6</v>
      </c>
      <c r="J68" s="27">
        <v>6</v>
      </c>
      <c r="K68" s="27">
        <v>5</v>
      </c>
      <c r="L68" s="27">
        <v>5</v>
      </c>
      <c r="M68" s="27">
        <v>5</v>
      </c>
      <c r="N68" s="27">
        <v>4</v>
      </c>
      <c r="O68" s="27">
        <v>4</v>
      </c>
      <c r="P68" s="27">
        <v>4</v>
      </c>
      <c r="Q68" s="27">
        <v>4</v>
      </c>
      <c r="R68" s="27">
        <v>4</v>
      </c>
      <c r="S68" s="27">
        <v>3</v>
      </c>
      <c r="T68" s="27">
        <v>3</v>
      </c>
      <c r="U68" s="27">
        <v>3</v>
      </c>
      <c r="V68" s="27">
        <v>3</v>
      </c>
      <c r="W68" s="27">
        <v>3</v>
      </c>
      <c r="X68" s="27">
        <v>2</v>
      </c>
      <c r="Y68" s="27">
        <v>2</v>
      </c>
      <c r="Z68" s="27">
        <v>2</v>
      </c>
      <c r="AA68" s="27">
        <v>2</v>
      </c>
      <c r="AB68" s="27">
        <v>2</v>
      </c>
      <c r="AC68" s="27">
        <v>1</v>
      </c>
      <c r="AD68" s="27">
        <v>1</v>
      </c>
      <c r="AE68" s="27">
        <v>1</v>
      </c>
      <c r="AF68" s="27">
        <v>1</v>
      </c>
      <c r="AG68" s="27">
        <v>1</v>
      </c>
      <c r="AH68" s="27">
        <v>1</v>
      </c>
      <c r="AI68" s="27">
        <v>1</v>
      </c>
      <c r="AJ68" s="27">
        <v>1</v>
      </c>
      <c r="AK68" s="27" t="str">
        <v/>
      </c>
      <c r="AL68" s="27" t="str">
        <v/>
      </c>
      <c r="AM68" s="27" t="str">
        <v/>
      </c>
      <c r="AN68" s="27" t="str">
        <v/>
      </c>
      <c r="AO68" s="27" t="str">
        <v/>
      </c>
      <c r="AP68" s="28">
        <f t="shared" si="1"/>
        <v>140</v>
      </c>
    </row>
    <row r="69" spans="1:42" x14ac:dyDescent="0.2">
      <c r="A69" s="28">
        <v>71</v>
      </c>
      <c r="B69" s="27">
        <v>11</v>
      </c>
      <c r="C69" s="27">
        <v>10</v>
      </c>
      <c r="D69" s="27">
        <v>9</v>
      </c>
      <c r="E69" s="27">
        <v>8</v>
      </c>
      <c r="F69" s="27">
        <v>8</v>
      </c>
      <c r="G69" s="27">
        <v>7</v>
      </c>
      <c r="H69" s="27">
        <v>7</v>
      </c>
      <c r="I69" s="27">
        <v>6</v>
      </c>
      <c r="J69" s="27">
        <v>6</v>
      </c>
      <c r="K69" s="27">
        <v>5</v>
      </c>
      <c r="L69" s="27">
        <v>5</v>
      </c>
      <c r="M69" s="27">
        <v>5</v>
      </c>
      <c r="N69" s="27">
        <v>4</v>
      </c>
      <c r="O69" s="27">
        <v>4</v>
      </c>
      <c r="P69" s="27">
        <v>4</v>
      </c>
      <c r="Q69" s="27">
        <v>4</v>
      </c>
      <c r="R69" s="27">
        <v>4</v>
      </c>
      <c r="S69" s="27">
        <v>3</v>
      </c>
      <c r="T69" s="27">
        <v>3</v>
      </c>
      <c r="U69" s="27">
        <v>3</v>
      </c>
      <c r="V69" s="27">
        <v>3</v>
      </c>
      <c r="W69" s="27">
        <v>3</v>
      </c>
      <c r="X69" s="27">
        <v>2</v>
      </c>
      <c r="Y69" s="27">
        <v>2</v>
      </c>
      <c r="Z69" s="27">
        <v>2</v>
      </c>
      <c r="AA69" s="27">
        <v>2</v>
      </c>
      <c r="AB69" s="27">
        <v>2</v>
      </c>
      <c r="AC69" s="27">
        <v>2</v>
      </c>
      <c r="AD69" s="27">
        <v>1</v>
      </c>
      <c r="AE69" s="27">
        <v>1</v>
      </c>
      <c r="AF69" s="27">
        <v>1</v>
      </c>
      <c r="AG69" s="27">
        <v>1</v>
      </c>
      <c r="AH69" s="27">
        <v>1</v>
      </c>
      <c r="AI69" s="27">
        <v>1</v>
      </c>
      <c r="AJ69" s="27">
        <v>1</v>
      </c>
      <c r="AK69" s="27">
        <v>1</v>
      </c>
      <c r="AL69" s="27" t="str">
        <v/>
      </c>
      <c r="AM69" s="27" t="str">
        <v/>
      </c>
      <c r="AN69" s="27" t="str">
        <v/>
      </c>
      <c r="AO69" s="27" t="str">
        <v/>
      </c>
      <c r="AP69" s="28">
        <f t="shared" si="1"/>
        <v>142</v>
      </c>
    </row>
    <row r="70" spans="1:42" x14ac:dyDescent="0.2">
      <c r="A70" s="27">
        <v>72</v>
      </c>
      <c r="B70" s="27">
        <v>11</v>
      </c>
      <c r="C70" s="27">
        <v>10</v>
      </c>
      <c r="D70" s="27">
        <v>9</v>
      </c>
      <c r="E70" s="27">
        <v>8</v>
      </c>
      <c r="F70" s="27">
        <v>8</v>
      </c>
      <c r="G70" s="27">
        <v>7</v>
      </c>
      <c r="H70" s="27">
        <v>7</v>
      </c>
      <c r="I70" s="27">
        <v>6</v>
      </c>
      <c r="J70" s="27">
        <v>6</v>
      </c>
      <c r="K70" s="27">
        <v>6</v>
      </c>
      <c r="L70" s="27">
        <v>5</v>
      </c>
      <c r="M70" s="27">
        <v>5</v>
      </c>
      <c r="N70" s="27">
        <v>4</v>
      </c>
      <c r="O70" s="27">
        <v>4</v>
      </c>
      <c r="P70" s="27">
        <v>4</v>
      </c>
      <c r="Q70" s="27">
        <v>4</v>
      </c>
      <c r="R70" s="27">
        <v>4</v>
      </c>
      <c r="S70" s="27">
        <v>3</v>
      </c>
      <c r="T70" s="27">
        <v>3</v>
      </c>
      <c r="U70" s="27">
        <v>3</v>
      </c>
      <c r="V70" s="27">
        <v>3</v>
      </c>
      <c r="W70" s="27">
        <v>3</v>
      </c>
      <c r="X70" s="27">
        <v>2</v>
      </c>
      <c r="Y70" s="27">
        <v>2</v>
      </c>
      <c r="Z70" s="27">
        <v>2</v>
      </c>
      <c r="AA70" s="27">
        <v>2</v>
      </c>
      <c r="AB70" s="27">
        <v>2</v>
      </c>
      <c r="AC70" s="27">
        <v>2</v>
      </c>
      <c r="AD70" s="27">
        <v>2</v>
      </c>
      <c r="AE70" s="27">
        <v>1</v>
      </c>
      <c r="AF70" s="27">
        <v>1</v>
      </c>
      <c r="AG70" s="27">
        <v>1</v>
      </c>
      <c r="AH70" s="27">
        <v>1</v>
      </c>
      <c r="AI70" s="27">
        <v>1</v>
      </c>
      <c r="AJ70" s="27">
        <v>1</v>
      </c>
      <c r="AK70" s="27">
        <v>1</v>
      </c>
      <c r="AL70" s="27" t="str">
        <v/>
      </c>
      <c r="AM70" s="27" t="str">
        <v/>
      </c>
      <c r="AN70" s="27" t="str">
        <v/>
      </c>
      <c r="AO70" s="27" t="str">
        <v/>
      </c>
      <c r="AP70" s="28">
        <f t="shared" si="1"/>
        <v>144</v>
      </c>
    </row>
    <row r="71" spans="1:42" x14ac:dyDescent="0.2">
      <c r="A71" s="28">
        <v>73</v>
      </c>
      <c r="B71" s="27">
        <v>11</v>
      </c>
      <c r="C71" s="27">
        <v>10</v>
      </c>
      <c r="D71" s="27">
        <v>9</v>
      </c>
      <c r="E71" s="27">
        <v>9</v>
      </c>
      <c r="F71" s="27">
        <v>8</v>
      </c>
      <c r="G71" s="27">
        <v>7</v>
      </c>
      <c r="H71" s="27">
        <v>7</v>
      </c>
      <c r="I71" s="27">
        <v>6</v>
      </c>
      <c r="J71" s="27">
        <v>6</v>
      </c>
      <c r="K71" s="27">
        <v>5</v>
      </c>
      <c r="L71" s="27">
        <v>5</v>
      </c>
      <c r="M71" s="27">
        <v>5</v>
      </c>
      <c r="N71" s="27">
        <v>5</v>
      </c>
      <c r="O71" s="27">
        <v>4</v>
      </c>
      <c r="P71" s="27">
        <v>4</v>
      </c>
      <c r="Q71" s="27">
        <v>4</v>
      </c>
      <c r="R71" s="27">
        <v>4</v>
      </c>
      <c r="S71" s="27">
        <v>3</v>
      </c>
      <c r="T71" s="27">
        <v>3</v>
      </c>
      <c r="U71" s="27">
        <v>3</v>
      </c>
      <c r="V71" s="27">
        <v>3</v>
      </c>
      <c r="W71" s="27">
        <v>3</v>
      </c>
      <c r="X71" s="27">
        <v>2</v>
      </c>
      <c r="Y71" s="27">
        <v>2</v>
      </c>
      <c r="Z71" s="27">
        <v>2</v>
      </c>
      <c r="AA71" s="27">
        <v>2</v>
      </c>
      <c r="AB71" s="27">
        <v>2</v>
      </c>
      <c r="AC71" s="27">
        <v>2</v>
      </c>
      <c r="AD71" s="27">
        <v>2</v>
      </c>
      <c r="AE71" s="27">
        <v>1</v>
      </c>
      <c r="AF71" s="27">
        <v>1</v>
      </c>
      <c r="AG71" s="27">
        <v>1</v>
      </c>
      <c r="AH71" s="27">
        <v>1</v>
      </c>
      <c r="AI71" s="27">
        <v>1</v>
      </c>
      <c r="AJ71" s="27">
        <v>1</v>
      </c>
      <c r="AK71" s="27">
        <v>1</v>
      </c>
      <c r="AL71" s="27">
        <v>1</v>
      </c>
      <c r="AM71" s="27" t="str">
        <v/>
      </c>
      <c r="AN71" s="27" t="str">
        <v/>
      </c>
      <c r="AO71" s="27" t="str">
        <v/>
      </c>
      <c r="AP71" s="28">
        <f t="shared" si="1"/>
        <v>146</v>
      </c>
    </row>
    <row r="72" spans="1:42" x14ac:dyDescent="0.2">
      <c r="A72" s="27">
        <v>74</v>
      </c>
      <c r="B72" s="27">
        <v>11</v>
      </c>
      <c r="C72" s="27">
        <v>10</v>
      </c>
      <c r="D72" s="27">
        <v>9</v>
      </c>
      <c r="E72" s="27">
        <v>9</v>
      </c>
      <c r="F72" s="27">
        <v>8</v>
      </c>
      <c r="G72" s="27">
        <v>8</v>
      </c>
      <c r="H72" s="27">
        <v>7</v>
      </c>
      <c r="I72" s="27">
        <v>6</v>
      </c>
      <c r="J72" s="27">
        <v>6</v>
      </c>
      <c r="K72" s="27">
        <v>5</v>
      </c>
      <c r="L72" s="27">
        <v>5</v>
      </c>
      <c r="M72" s="27">
        <v>5</v>
      </c>
      <c r="N72" s="27">
        <v>5</v>
      </c>
      <c r="O72" s="27">
        <v>4</v>
      </c>
      <c r="P72" s="27">
        <v>4</v>
      </c>
      <c r="Q72" s="27">
        <v>4</v>
      </c>
      <c r="R72" s="27">
        <v>4</v>
      </c>
      <c r="S72" s="27">
        <v>3</v>
      </c>
      <c r="T72" s="27">
        <v>3</v>
      </c>
      <c r="U72" s="27">
        <v>3</v>
      </c>
      <c r="V72" s="27">
        <v>3</v>
      </c>
      <c r="W72" s="27">
        <v>3</v>
      </c>
      <c r="X72" s="27">
        <v>2</v>
      </c>
      <c r="Y72" s="27">
        <v>2</v>
      </c>
      <c r="Z72" s="27">
        <v>2</v>
      </c>
      <c r="AA72" s="27">
        <v>2</v>
      </c>
      <c r="AB72" s="27">
        <v>2</v>
      </c>
      <c r="AC72" s="27">
        <v>2</v>
      </c>
      <c r="AD72" s="27">
        <v>2</v>
      </c>
      <c r="AE72" s="27">
        <v>2</v>
      </c>
      <c r="AF72" s="27">
        <v>1</v>
      </c>
      <c r="AG72" s="27">
        <v>1</v>
      </c>
      <c r="AH72" s="27">
        <v>1</v>
      </c>
      <c r="AI72" s="27">
        <v>1</v>
      </c>
      <c r="AJ72" s="27">
        <v>1</v>
      </c>
      <c r="AK72" s="27">
        <v>1</v>
      </c>
      <c r="AL72" s="27">
        <v>1</v>
      </c>
      <c r="AM72" s="27" t="str">
        <v/>
      </c>
      <c r="AN72" s="27" t="str">
        <v/>
      </c>
      <c r="AO72" s="27" t="str">
        <v/>
      </c>
      <c r="AP72" s="28">
        <f t="shared" si="1"/>
        <v>148</v>
      </c>
    </row>
    <row r="73" spans="1:42" x14ac:dyDescent="0.2">
      <c r="A73" s="28">
        <v>75</v>
      </c>
      <c r="B73" s="27">
        <v>11</v>
      </c>
      <c r="C73" s="27">
        <v>10</v>
      </c>
      <c r="D73" s="27">
        <v>10</v>
      </c>
      <c r="E73" s="27">
        <v>9</v>
      </c>
      <c r="F73" s="27">
        <v>8</v>
      </c>
      <c r="G73" s="27">
        <v>8</v>
      </c>
      <c r="H73" s="27">
        <v>7</v>
      </c>
      <c r="I73" s="27">
        <v>6</v>
      </c>
      <c r="J73" s="27">
        <v>6</v>
      </c>
      <c r="K73" s="27">
        <v>5</v>
      </c>
      <c r="L73" s="27">
        <v>5</v>
      </c>
      <c r="M73" s="27">
        <v>5</v>
      </c>
      <c r="N73" s="27">
        <v>5</v>
      </c>
      <c r="O73" s="27">
        <v>4</v>
      </c>
      <c r="P73" s="27">
        <v>4</v>
      </c>
      <c r="Q73" s="27">
        <v>4</v>
      </c>
      <c r="R73" s="27">
        <v>4</v>
      </c>
      <c r="S73" s="27">
        <v>3</v>
      </c>
      <c r="T73" s="27">
        <v>3</v>
      </c>
      <c r="U73" s="27">
        <v>3</v>
      </c>
      <c r="V73" s="27">
        <v>3</v>
      </c>
      <c r="W73" s="27">
        <v>3</v>
      </c>
      <c r="X73" s="27">
        <v>2</v>
      </c>
      <c r="Y73" s="27">
        <v>2</v>
      </c>
      <c r="Z73" s="27">
        <v>2</v>
      </c>
      <c r="AA73" s="27">
        <v>2</v>
      </c>
      <c r="AB73" s="27">
        <v>2</v>
      </c>
      <c r="AC73" s="27">
        <v>2</v>
      </c>
      <c r="AD73" s="27">
        <v>2</v>
      </c>
      <c r="AE73" s="27">
        <v>2</v>
      </c>
      <c r="AF73" s="27">
        <v>1</v>
      </c>
      <c r="AG73" s="27">
        <v>1</v>
      </c>
      <c r="AH73" s="27">
        <v>1</v>
      </c>
      <c r="AI73" s="27">
        <v>1</v>
      </c>
      <c r="AJ73" s="27">
        <v>1</v>
      </c>
      <c r="AK73" s="27">
        <v>1</v>
      </c>
      <c r="AL73" s="27">
        <v>1</v>
      </c>
      <c r="AM73" s="27">
        <v>1</v>
      </c>
      <c r="AN73" s="27" t="str">
        <v/>
      </c>
      <c r="AO73" s="27" t="str">
        <v/>
      </c>
      <c r="AP73" s="28">
        <f t="shared" si="1"/>
        <v>150</v>
      </c>
    </row>
    <row r="74" spans="1:42" x14ac:dyDescent="0.2">
      <c r="A74" s="27">
        <v>76</v>
      </c>
      <c r="B74" s="27">
        <v>11</v>
      </c>
      <c r="C74" s="27">
        <v>11</v>
      </c>
      <c r="D74" s="27">
        <v>10</v>
      </c>
      <c r="E74" s="27">
        <v>9</v>
      </c>
      <c r="F74" s="27">
        <v>8</v>
      </c>
      <c r="G74" s="27">
        <v>8</v>
      </c>
      <c r="H74" s="27">
        <v>7</v>
      </c>
      <c r="I74" s="27">
        <v>7</v>
      </c>
      <c r="J74" s="27">
        <v>6</v>
      </c>
      <c r="K74" s="27">
        <v>5</v>
      </c>
      <c r="L74" s="27">
        <v>5</v>
      </c>
      <c r="M74" s="27">
        <v>5</v>
      </c>
      <c r="N74" s="27">
        <v>5</v>
      </c>
      <c r="O74" s="27">
        <v>4</v>
      </c>
      <c r="P74" s="27">
        <v>4</v>
      </c>
      <c r="Q74" s="27">
        <v>4</v>
      </c>
      <c r="R74" s="27">
        <v>4</v>
      </c>
      <c r="S74" s="27">
        <v>3</v>
      </c>
      <c r="T74" s="27">
        <v>3</v>
      </c>
      <c r="U74" s="27">
        <v>3</v>
      </c>
      <c r="V74" s="27">
        <v>3</v>
      </c>
      <c r="W74" s="27">
        <v>3</v>
      </c>
      <c r="X74" s="27">
        <v>2</v>
      </c>
      <c r="Y74" s="27">
        <v>2</v>
      </c>
      <c r="Z74" s="27">
        <v>2</v>
      </c>
      <c r="AA74" s="27">
        <v>2</v>
      </c>
      <c r="AB74" s="27">
        <v>2</v>
      </c>
      <c r="AC74" s="27">
        <v>2</v>
      </c>
      <c r="AD74" s="27">
        <v>2</v>
      </c>
      <c r="AE74" s="27">
        <v>2</v>
      </c>
      <c r="AF74" s="27">
        <v>1</v>
      </c>
      <c r="AG74" s="27">
        <v>1</v>
      </c>
      <c r="AH74" s="27">
        <v>1</v>
      </c>
      <c r="AI74" s="27">
        <v>1</v>
      </c>
      <c r="AJ74" s="27">
        <v>1</v>
      </c>
      <c r="AK74" s="27">
        <v>1</v>
      </c>
      <c r="AL74" s="27">
        <v>1</v>
      </c>
      <c r="AM74" s="27">
        <v>1</v>
      </c>
      <c r="AN74" s="27" t="str">
        <v/>
      </c>
      <c r="AO74" s="27" t="str">
        <v/>
      </c>
      <c r="AP74" s="28">
        <f t="shared" si="1"/>
        <v>152</v>
      </c>
    </row>
    <row r="75" spans="1:42" x14ac:dyDescent="0.2">
      <c r="A75" s="28">
        <v>77</v>
      </c>
      <c r="B75" s="27">
        <v>12</v>
      </c>
      <c r="C75" s="27">
        <v>11</v>
      </c>
      <c r="D75" s="27">
        <v>10</v>
      </c>
      <c r="E75" s="27">
        <v>9</v>
      </c>
      <c r="F75" s="27">
        <v>8</v>
      </c>
      <c r="G75" s="27">
        <v>8</v>
      </c>
      <c r="H75" s="27">
        <v>7</v>
      </c>
      <c r="I75" s="27">
        <v>7</v>
      </c>
      <c r="J75" s="27">
        <v>6</v>
      </c>
      <c r="K75" s="27">
        <v>5</v>
      </c>
      <c r="L75" s="27">
        <v>5</v>
      </c>
      <c r="M75" s="27">
        <v>5</v>
      </c>
      <c r="N75" s="27">
        <v>5</v>
      </c>
      <c r="O75" s="27">
        <v>4</v>
      </c>
      <c r="P75" s="27">
        <v>4</v>
      </c>
      <c r="Q75" s="27">
        <v>4</v>
      </c>
      <c r="R75" s="27">
        <v>4</v>
      </c>
      <c r="S75" s="27">
        <v>3</v>
      </c>
      <c r="T75" s="27">
        <v>3</v>
      </c>
      <c r="U75" s="27">
        <v>3</v>
      </c>
      <c r="V75" s="27">
        <v>3</v>
      </c>
      <c r="W75" s="27">
        <v>3</v>
      </c>
      <c r="X75" s="27">
        <v>2</v>
      </c>
      <c r="Y75" s="27">
        <v>2</v>
      </c>
      <c r="Z75" s="27">
        <v>2</v>
      </c>
      <c r="AA75" s="27">
        <v>2</v>
      </c>
      <c r="AB75" s="27">
        <v>2</v>
      </c>
      <c r="AC75" s="27">
        <v>2</v>
      </c>
      <c r="AD75" s="27">
        <v>2</v>
      </c>
      <c r="AE75" s="27">
        <v>2</v>
      </c>
      <c r="AF75" s="27">
        <v>1</v>
      </c>
      <c r="AG75" s="27">
        <v>1</v>
      </c>
      <c r="AH75" s="27">
        <v>1</v>
      </c>
      <c r="AI75" s="27">
        <v>1</v>
      </c>
      <c r="AJ75" s="27">
        <v>1</v>
      </c>
      <c r="AK75" s="27">
        <v>1</v>
      </c>
      <c r="AL75" s="27">
        <v>1</v>
      </c>
      <c r="AM75" s="27">
        <v>1</v>
      </c>
      <c r="AN75" s="27">
        <v>1</v>
      </c>
      <c r="AO75" s="27" t="str">
        <v/>
      </c>
      <c r="AP75" s="28">
        <f t="shared" si="1"/>
        <v>154</v>
      </c>
    </row>
    <row r="76" spans="1:42" x14ac:dyDescent="0.2">
      <c r="A76" s="27">
        <v>78</v>
      </c>
      <c r="B76" s="27">
        <v>12</v>
      </c>
      <c r="C76" s="27">
        <v>11</v>
      </c>
      <c r="D76" s="27">
        <v>10</v>
      </c>
      <c r="E76" s="27">
        <v>9</v>
      </c>
      <c r="F76" s="27">
        <v>8</v>
      </c>
      <c r="G76" s="27">
        <v>8</v>
      </c>
      <c r="H76" s="27">
        <v>7</v>
      </c>
      <c r="I76" s="27">
        <v>7</v>
      </c>
      <c r="J76" s="27">
        <v>6</v>
      </c>
      <c r="K76" s="27">
        <v>6</v>
      </c>
      <c r="L76" s="27">
        <v>5</v>
      </c>
      <c r="M76" s="27">
        <v>5</v>
      </c>
      <c r="N76" s="27">
        <v>5</v>
      </c>
      <c r="O76" s="27">
        <v>4</v>
      </c>
      <c r="P76" s="27">
        <v>4</v>
      </c>
      <c r="Q76" s="27">
        <v>4</v>
      </c>
      <c r="R76" s="27">
        <v>4</v>
      </c>
      <c r="S76" s="27">
        <v>4</v>
      </c>
      <c r="T76" s="27">
        <v>3</v>
      </c>
      <c r="U76" s="27">
        <v>3</v>
      </c>
      <c r="V76" s="27">
        <v>3</v>
      </c>
      <c r="W76" s="27">
        <v>3</v>
      </c>
      <c r="X76" s="27">
        <v>2</v>
      </c>
      <c r="Y76" s="27">
        <v>2</v>
      </c>
      <c r="Z76" s="27">
        <v>2</v>
      </c>
      <c r="AA76" s="27">
        <v>2</v>
      </c>
      <c r="AB76" s="27">
        <v>2</v>
      </c>
      <c r="AC76" s="27">
        <v>2</v>
      </c>
      <c r="AD76" s="27">
        <v>2</v>
      </c>
      <c r="AE76" s="27">
        <v>2</v>
      </c>
      <c r="AF76" s="27">
        <v>1</v>
      </c>
      <c r="AG76" s="27">
        <v>1</v>
      </c>
      <c r="AH76" s="27">
        <v>1</v>
      </c>
      <c r="AI76" s="27">
        <v>1</v>
      </c>
      <c r="AJ76" s="27">
        <v>1</v>
      </c>
      <c r="AK76" s="27">
        <v>1</v>
      </c>
      <c r="AL76" s="27">
        <v>1</v>
      </c>
      <c r="AM76" s="27">
        <v>1</v>
      </c>
      <c r="AN76" s="27">
        <v>1</v>
      </c>
      <c r="AO76" s="27" t="str">
        <v/>
      </c>
      <c r="AP76" s="28">
        <f t="shared" si="1"/>
        <v>156</v>
      </c>
    </row>
    <row r="77" spans="1:42" x14ac:dyDescent="0.2">
      <c r="A77" s="28">
        <v>79</v>
      </c>
      <c r="B77" s="27">
        <v>12</v>
      </c>
      <c r="C77" s="27">
        <v>11</v>
      </c>
      <c r="D77" s="27">
        <v>10</v>
      </c>
      <c r="E77" s="27">
        <v>9</v>
      </c>
      <c r="F77" s="27">
        <v>8</v>
      </c>
      <c r="G77" s="27">
        <v>8</v>
      </c>
      <c r="H77" s="27">
        <v>7</v>
      </c>
      <c r="I77" s="27">
        <v>7</v>
      </c>
      <c r="J77" s="27">
        <v>6</v>
      </c>
      <c r="K77" s="27">
        <v>6</v>
      </c>
      <c r="L77" s="27">
        <v>5</v>
      </c>
      <c r="M77" s="27">
        <v>5</v>
      </c>
      <c r="N77" s="27">
        <v>5</v>
      </c>
      <c r="O77" s="27">
        <v>5</v>
      </c>
      <c r="P77" s="27">
        <v>4</v>
      </c>
      <c r="Q77" s="27">
        <v>4</v>
      </c>
      <c r="R77" s="27">
        <v>4</v>
      </c>
      <c r="S77" s="27">
        <v>4</v>
      </c>
      <c r="T77" s="27">
        <v>3</v>
      </c>
      <c r="U77" s="27">
        <v>3</v>
      </c>
      <c r="V77" s="27">
        <v>3</v>
      </c>
      <c r="W77" s="27">
        <v>3</v>
      </c>
      <c r="X77" s="27">
        <v>2</v>
      </c>
      <c r="Y77" s="27">
        <v>2</v>
      </c>
      <c r="Z77" s="27">
        <v>2</v>
      </c>
      <c r="AA77" s="27">
        <v>2</v>
      </c>
      <c r="AB77" s="27">
        <v>2</v>
      </c>
      <c r="AC77" s="27">
        <v>2</v>
      </c>
      <c r="AD77" s="27">
        <v>2</v>
      </c>
      <c r="AE77" s="27">
        <v>2</v>
      </c>
      <c r="AF77" s="27">
        <v>1</v>
      </c>
      <c r="AG77" s="27">
        <v>1</v>
      </c>
      <c r="AH77" s="27">
        <v>1</v>
      </c>
      <c r="AI77" s="27">
        <v>1</v>
      </c>
      <c r="AJ77" s="27">
        <v>1</v>
      </c>
      <c r="AK77" s="27">
        <v>1</v>
      </c>
      <c r="AL77" s="27">
        <v>1</v>
      </c>
      <c r="AM77" s="27">
        <v>1</v>
      </c>
      <c r="AN77" s="27">
        <v>1</v>
      </c>
      <c r="AO77" s="27">
        <v>1</v>
      </c>
      <c r="AP77" s="28">
        <f t="shared" si="1"/>
        <v>158</v>
      </c>
    </row>
    <row r="78" spans="1:42" x14ac:dyDescent="0.2">
      <c r="A78" s="27">
        <v>80</v>
      </c>
      <c r="B78" s="27">
        <v>12</v>
      </c>
      <c r="C78" s="27">
        <v>11</v>
      </c>
      <c r="D78" s="27">
        <v>10</v>
      </c>
      <c r="E78" s="27">
        <v>9</v>
      </c>
      <c r="F78" s="27">
        <v>8</v>
      </c>
      <c r="G78" s="27">
        <v>8</v>
      </c>
      <c r="H78" s="27">
        <v>7</v>
      </c>
      <c r="I78" s="27">
        <v>7</v>
      </c>
      <c r="J78" s="27">
        <v>6</v>
      </c>
      <c r="K78" s="27">
        <v>6</v>
      </c>
      <c r="L78" s="27">
        <v>5</v>
      </c>
      <c r="M78" s="27">
        <v>5</v>
      </c>
      <c r="N78" s="27">
        <v>5</v>
      </c>
      <c r="O78" s="27">
        <v>5</v>
      </c>
      <c r="P78" s="27">
        <v>4</v>
      </c>
      <c r="Q78" s="27">
        <v>4</v>
      </c>
      <c r="R78" s="27">
        <v>4</v>
      </c>
      <c r="S78" s="27">
        <v>4</v>
      </c>
      <c r="T78" s="27">
        <v>3</v>
      </c>
      <c r="U78" s="27">
        <v>3</v>
      </c>
      <c r="V78" s="27">
        <v>3</v>
      </c>
      <c r="W78" s="27">
        <v>3</v>
      </c>
      <c r="X78" s="27">
        <v>3</v>
      </c>
      <c r="Y78" s="27">
        <v>2</v>
      </c>
      <c r="Z78" s="27">
        <v>2</v>
      </c>
      <c r="AA78" s="27">
        <v>2</v>
      </c>
      <c r="AB78" s="27">
        <v>2</v>
      </c>
      <c r="AC78" s="27">
        <v>2</v>
      </c>
      <c r="AD78" s="27">
        <v>2</v>
      </c>
      <c r="AE78" s="27">
        <v>2</v>
      </c>
      <c r="AF78" s="27">
        <v>2</v>
      </c>
      <c r="AG78" s="27">
        <v>1</v>
      </c>
      <c r="AH78" s="27">
        <v>1</v>
      </c>
      <c r="AI78" s="27">
        <v>1</v>
      </c>
      <c r="AJ78" s="27">
        <v>1</v>
      </c>
      <c r="AK78" s="27">
        <v>1</v>
      </c>
      <c r="AL78" s="27">
        <v>1</v>
      </c>
      <c r="AM78" s="27">
        <v>1</v>
      </c>
      <c r="AN78" s="27">
        <v>1</v>
      </c>
      <c r="AO78" s="27">
        <v>1</v>
      </c>
      <c r="AP78" s="28">
        <f t="shared" si="1"/>
        <v>160</v>
      </c>
    </row>
    <row r="79" spans="1:42" hidden="1" x14ac:dyDescent="0.2">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row>
    <row r="80" spans="1:42" hidden="1" x14ac:dyDescent="0.2">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row>
    <row r="81" spans="17:50" hidden="1" x14ac:dyDescent="0.2">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row>
    <row r="82" spans="17:50" hidden="1" x14ac:dyDescent="0.2">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row>
    <row r="83" spans="17:50" hidden="1" x14ac:dyDescent="0.2">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row>
    <row r="84" spans="17:50" hidden="1" x14ac:dyDescent="0.2">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row>
    <row r="85" spans="17:50" hidden="1" x14ac:dyDescent="0.2">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row>
    <row r="86" spans="17:50" hidden="1" x14ac:dyDescent="0.2">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row>
    <row r="87" spans="17:50" hidden="1" x14ac:dyDescent="0.2">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row>
    <row r="88" spans="17:50" hidden="1" x14ac:dyDescent="0.2">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row>
    <row r="89" spans="17:50" hidden="1" x14ac:dyDescent="0.2">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row>
    <row r="90" spans="17:50" hidden="1" x14ac:dyDescent="0.2">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row>
    <row r="91" spans="17:50" hidden="1" x14ac:dyDescent="0.2">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row>
    <row r="92" spans="17:50" hidden="1" x14ac:dyDescent="0.2">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row>
    <row r="93" spans="17:50" hidden="1" x14ac:dyDescent="0.2">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row>
    <row r="94" spans="17:50" hidden="1" x14ac:dyDescent="0.2">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row>
    <row r="95" spans="17:50" hidden="1" x14ac:dyDescent="0.2">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row>
    <row r="96" spans="17:50" hidden="1" x14ac:dyDescent="0.2">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row>
    <row r="97" spans="25:53" hidden="1" x14ac:dyDescent="0.2">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row>
    <row r="98" spans="25:53" hidden="1" x14ac:dyDescent="0.2">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row>
    <row r="99" spans="25:53" hidden="1" x14ac:dyDescent="0.2">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row>
    <row r="100" spans="25:53" hidden="1" x14ac:dyDescent="0.2">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row>
    <row r="101" spans="25:53" hidden="1" x14ac:dyDescent="0.2">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row>
    <row r="102" spans="25:53" hidden="1" x14ac:dyDescent="0.2">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row>
    <row r="103" spans="25:53" hidden="1" x14ac:dyDescent="0.2">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row>
    <row r="104" spans="25:53" hidden="1" x14ac:dyDescent="0.2">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row>
    <row r="105" spans="25:53" hidden="1" x14ac:dyDescent="0.2">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row>
    <row r="106" spans="25:53" hidden="1" x14ac:dyDescent="0.2">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row>
    <row r="107" spans="25:53" hidden="1" x14ac:dyDescent="0.2">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row>
    <row r="108" spans="25:53" hidden="1" x14ac:dyDescent="0.2">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row>
    <row r="109" spans="25:53" hidden="1" x14ac:dyDescent="0.2">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row>
    <row r="110" spans="25:53" hidden="1" x14ac:dyDescent="0.2">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row>
    <row r="111" spans="25:53" hidden="1" x14ac:dyDescent="0.2">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row>
    <row r="112" spans="25:53" hidden="1" x14ac:dyDescent="0.2">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row>
    <row r="113" spans="33:53" hidden="1" x14ac:dyDescent="0.2">
      <c r="AG113" s="27"/>
      <c r="AH113" s="27"/>
      <c r="AI113" s="27"/>
      <c r="AJ113" s="27"/>
      <c r="AK113" s="27"/>
      <c r="AL113" s="27"/>
      <c r="AM113" s="27"/>
      <c r="AN113" s="27"/>
      <c r="AO113" s="27"/>
      <c r="AP113" s="27"/>
      <c r="AQ113" s="27"/>
      <c r="AR113" s="27"/>
      <c r="AS113" s="27"/>
      <c r="AT113" s="27"/>
      <c r="AU113" s="27"/>
      <c r="AV113" s="27"/>
      <c r="AW113" s="27"/>
      <c r="AX113" s="27"/>
      <c r="AY113" s="27"/>
      <c r="AZ113" s="27"/>
      <c r="BA113" s="27"/>
    </row>
    <row r="114" spans="33:53" hidden="1" x14ac:dyDescent="0.2">
      <c r="AG114" s="27"/>
      <c r="AH114" s="27"/>
      <c r="AI114" s="27"/>
      <c r="AJ114" s="27"/>
      <c r="AK114" s="27"/>
      <c r="AL114" s="27"/>
      <c r="AM114" s="27"/>
      <c r="AN114" s="27"/>
      <c r="AO114" s="27"/>
      <c r="AP114" s="27"/>
      <c r="AQ114" s="27"/>
      <c r="AR114" s="27"/>
      <c r="AS114" s="27"/>
      <c r="AT114" s="27"/>
      <c r="AU114" s="27"/>
      <c r="AV114" s="27"/>
      <c r="AW114" s="27"/>
      <c r="AX114" s="27"/>
      <c r="AY114" s="27"/>
      <c r="AZ114" s="27"/>
      <c r="BA114" s="27"/>
    </row>
    <row r="115" spans="33:53" hidden="1" x14ac:dyDescent="0.2">
      <c r="AH115" s="27"/>
      <c r="AI115" s="27"/>
      <c r="AJ115" s="27"/>
      <c r="AK115" s="27"/>
      <c r="AL115" s="27"/>
      <c r="AM115" s="27"/>
      <c r="AN115" s="27"/>
      <c r="AO115" s="27"/>
      <c r="AP115" s="27"/>
      <c r="AQ115" s="27"/>
      <c r="AR115" s="27"/>
      <c r="AS115" s="27"/>
      <c r="AT115" s="27"/>
      <c r="AU115" s="27"/>
      <c r="AV115" s="27"/>
      <c r="AW115" s="27"/>
      <c r="AX115" s="27"/>
      <c r="AY115" s="27"/>
      <c r="AZ115" s="27"/>
      <c r="BA115" s="27"/>
    </row>
    <row r="116" spans="33:53" hidden="1" x14ac:dyDescent="0.2">
      <c r="AH116" s="27"/>
      <c r="AI116" s="27"/>
      <c r="AJ116" s="27"/>
      <c r="AK116" s="27"/>
      <c r="AL116" s="27"/>
      <c r="AM116" s="27"/>
      <c r="AN116" s="27"/>
      <c r="AO116" s="27"/>
      <c r="AP116" s="27"/>
      <c r="AQ116" s="27"/>
      <c r="AR116" s="27"/>
      <c r="AS116" s="27"/>
      <c r="AT116" s="27"/>
      <c r="AU116" s="27"/>
      <c r="AV116" s="27"/>
      <c r="AW116" s="27"/>
      <c r="AX116" s="27"/>
      <c r="AY116" s="27"/>
      <c r="AZ116" s="27"/>
      <c r="BA116" s="27"/>
    </row>
    <row r="117" spans="33:53" hidden="1" x14ac:dyDescent="0.2">
      <c r="AI117" s="27"/>
      <c r="AJ117" s="27"/>
      <c r="AK117" s="27"/>
      <c r="AL117" s="27"/>
      <c r="AM117" s="27"/>
      <c r="AN117" s="27"/>
      <c r="AO117" s="27"/>
      <c r="AP117" s="27"/>
      <c r="AQ117" s="27"/>
      <c r="AR117" s="27"/>
      <c r="AS117" s="27"/>
      <c r="AT117" s="27"/>
      <c r="AU117" s="27"/>
      <c r="AV117" s="27"/>
      <c r="AW117" s="27"/>
      <c r="AX117" s="27"/>
      <c r="AY117" s="27"/>
      <c r="AZ117" s="27"/>
      <c r="BA117" s="27"/>
    </row>
    <row r="118" spans="33:53" hidden="1" x14ac:dyDescent="0.2">
      <c r="AI118" s="27"/>
      <c r="AJ118" s="27"/>
      <c r="AK118" s="27"/>
      <c r="AL118" s="27"/>
      <c r="AM118" s="27"/>
      <c r="AN118" s="27"/>
      <c r="AO118" s="27"/>
      <c r="AP118" s="27"/>
      <c r="AQ118" s="27"/>
      <c r="AR118" s="27"/>
      <c r="AS118" s="27"/>
      <c r="AT118" s="27"/>
      <c r="AU118" s="27"/>
      <c r="AV118" s="27"/>
      <c r="AW118" s="27"/>
      <c r="AX118" s="27"/>
      <c r="AY118" s="27"/>
      <c r="AZ118" s="27"/>
      <c r="BA118" s="27"/>
    </row>
    <row r="119" spans="33:53" hidden="1" x14ac:dyDescent="0.2">
      <c r="AJ119" s="27"/>
      <c r="AK119" s="27"/>
      <c r="AL119" s="27"/>
      <c r="AM119" s="27"/>
      <c r="AN119" s="27"/>
      <c r="AO119" s="27"/>
      <c r="AP119" s="27"/>
      <c r="AQ119" s="27"/>
      <c r="AR119" s="27"/>
      <c r="AS119" s="27"/>
      <c r="AT119" s="27"/>
      <c r="AU119" s="27"/>
      <c r="AV119" s="27"/>
      <c r="AW119" s="27"/>
      <c r="AX119" s="27"/>
      <c r="AY119" s="27"/>
      <c r="AZ119" s="27"/>
      <c r="BA119" s="27"/>
    </row>
    <row r="120" spans="33:53" hidden="1" x14ac:dyDescent="0.2">
      <c r="AJ120" s="27"/>
      <c r="AK120" s="27"/>
      <c r="AL120" s="27"/>
      <c r="AM120" s="27"/>
      <c r="AN120" s="27"/>
      <c r="AO120" s="27"/>
      <c r="AP120" s="27"/>
      <c r="AQ120" s="27"/>
      <c r="AR120" s="27"/>
      <c r="AS120" s="27"/>
      <c r="AT120" s="27"/>
      <c r="AU120" s="27"/>
      <c r="AV120" s="27"/>
      <c r="AW120" s="27"/>
      <c r="AX120" s="27"/>
      <c r="AY120" s="27"/>
      <c r="AZ120" s="27"/>
      <c r="BA120" s="27"/>
    </row>
    <row r="121" spans="33:53" hidden="1" x14ac:dyDescent="0.2">
      <c r="AK121" s="27"/>
      <c r="AL121" s="27"/>
      <c r="AM121" s="27"/>
      <c r="AN121" s="27"/>
      <c r="AO121" s="27"/>
      <c r="AP121" s="27"/>
      <c r="AQ121" s="27"/>
      <c r="AR121" s="27"/>
      <c r="AS121" s="27"/>
      <c r="AT121" s="27"/>
      <c r="AU121" s="27"/>
      <c r="AV121" s="27"/>
      <c r="AW121" s="27"/>
      <c r="AX121" s="27"/>
      <c r="AY121" s="27"/>
      <c r="AZ121" s="27"/>
      <c r="BA121" s="27"/>
    </row>
    <row r="122" spans="33:53" hidden="1" x14ac:dyDescent="0.2">
      <c r="AK122" s="27"/>
      <c r="AL122" s="27"/>
      <c r="AM122" s="27"/>
      <c r="AN122" s="27"/>
      <c r="AO122" s="27"/>
      <c r="AP122" s="27"/>
      <c r="AQ122" s="27"/>
      <c r="AR122" s="27"/>
      <c r="AS122" s="27"/>
      <c r="AT122" s="27"/>
      <c r="AU122" s="27"/>
      <c r="AV122" s="27"/>
      <c r="AW122" s="27"/>
      <c r="AX122" s="27"/>
      <c r="AY122" s="27"/>
      <c r="AZ122" s="27"/>
      <c r="BA122" s="27"/>
    </row>
    <row r="123" spans="33:53" hidden="1" x14ac:dyDescent="0.2">
      <c r="AL123" s="27"/>
      <c r="AM123" s="27"/>
      <c r="AN123" s="27"/>
      <c r="AO123" s="27"/>
      <c r="AP123" s="27"/>
      <c r="AQ123" s="27"/>
      <c r="AR123" s="27"/>
      <c r="AS123" s="27"/>
      <c r="AT123" s="27"/>
      <c r="AU123" s="27"/>
      <c r="AV123" s="27"/>
      <c r="AW123" s="27"/>
      <c r="AX123" s="27"/>
      <c r="AY123" s="27"/>
      <c r="AZ123" s="27"/>
      <c r="BA123" s="27"/>
    </row>
    <row r="124" spans="33:53" hidden="1" x14ac:dyDescent="0.2">
      <c r="AL124" s="27"/>
      <c r="AM124" s="27"/>
      <c r="AN124" s="27"/>
      <c r="AO124" s="27"/>
      <c r="AP124" s="27"/>
      <c r="AQ124" s="27"/>
      <c r="AR124" s="27"/>
      <c r="AS124" s="27"/>
      <c r="AT124" s="27"/>
      <c r="AU124" s="27"/>
      <c r="AV124" s="27"/>
      <c r="AW124" s="27"/>
      <c r="AX124" s="27"/>
      <c r="AY124" s="27"/>
      <c r="AZ124" s="27"/>
      <c r="BA124" s="27"/>
    </row>
    <row r="125" spans="33:53" hidden="1" x14ac:dyDescent="0.2">
      <c r="AM125" s="27"/>
      <c r="AN125" s="27"/>
      <c r="AO125" s="27"/>
      <c r="AP125" s="27"/>
      <c r="AQ125" s="27"/>
      <c r="AR125" s="27"/>
      <c r="AS125" s="27"/>
      <c r="AT125" s="27"/>
      <c r="AU125" s="27"/>
      <c r="AV125" s="27"/>
      <c r="AW125" s="27"/>
      <c r="AX125" s="27"/>
      <c r="AY125" s="27"/>
      <c r="AZ125" s="27"/>
      <c r="BA125" s="27"/>
    </row>
    <row r="126" spans="33:53" hidden="1" x14ac:dyDescent="0.2">
      <c r="AM126" s="27"/>
      <c r="AN126" s="27"/>
      <c r="AO126" s="27"/>
      <c r="AP126" s="27"/>
      <c r="AQ126" s="27"/>
      <c r="AR126" s="27"/>
      <c r="AS126" s="27"/>
      <c r="AT126" s="27"/>
      <c r="AU126" s="27"/>
      <c r="AV126" s="27"/>
      <c r="AW126" s="27"/>
      <c r="AX126" s="27"/>
      <c r="AY126" s="27"/>
      <c r="AZ126" s="27"/>
      <c r="BA126" s="27"/>
    </row>
    <row r="127" spans="33:53" hidden="1" x14ac:dyDescent="0.2">
      <c r="AN127" s="27"/>
      <c r="AO127" s="27"/>
      <c r="AP127" s="27"/>
      <c r="AQ127" s="27"/>
      <c r="AR127" s="27"/>
      <c r="AS127" s="27"/>
      <c r="AT127" s="27"/>
      <c r="AU127" s="27"/>
      <c r="AV127" s="27"/>
      <c r="AW127" s="27"/>
      <c r="AX127" s="27"/>
      <c r="AY127" s="27"/>
      <c r="AZ127" s="27"/>
      <c r="BA127" s="27"/>
    </row>
    <row r="128" spans="33:53" hidden="1" x14ac:dyDescent="0.2">
      <c r="AN128" s="27"/>
      <c r="AO128" s="27"/>
      <c r="AP128" s="27"/>
      <c r="AQ128" s="27"/>
      <c r="AR128" s="27"/>
      <c r="AS128" s="27"/>
      <c r="AT128" s="27"/>
      <c r="AU128" s="27"/>
      <c r="AV128" s="27"/>
      <c r="AW128" s="27"/>
      <c r="AX128" s="27"/>
      <c r="AY128" s="27"/>
      <c r="AZ128" s="27"/>
      <c r="BA128" s="27"/>
    </row>
    <row r="129" spans="41:53" hidden="1" x14ac:dyDescent="0.2">
      <c r="AO129" s="27"/>
      <c r="AP129" s="27"/>
      <c r="AQ129" s="27"/>
      <c r="AR129" s="27"/>
      <c r="AS129" s="27"/>
      <c r="AT129" s="27"/>
      <c r="AU129" s="27"/>
      <c r="AV129" s="27"/>
      <c r="AW129" s="27"/>
      <c r="AX129" s="27"/>
      <c r="AY129" s="27"/>
      <c r="AZ129" s="27"/>
      <c r="BA129" s="27"/>
    </row>
    <row r="130" spans="41:53" hidden="1" x14ac:dyDescent="0.2">
      <c r="AO130" s="27"/>
      <c r="AP130" s="27"/>
      <c r="AQ130" s="27"/>
      <c r="AR130" s="27"/>
      <c r="AS130" s="27"/>
      <c r="AT130" s="27"/>
      <c r="AU130" s="27"/>
      <c r="AV130" s="27"/>
      <c r="AW130" s="27"/>
      <c r="AX130" s="27"/>
      <c r="AY130" s="27"/>
      <c r="AZ130" s="27"/>
      <c r="BA130" s="27"/>
    </row>
    <row r="131" spans="41:53" hidden="1" x14ac:dyDescent="0.2">
      <c r="AP131" s="27"/>
      <c r="AQ131" s="27"/>
      <c r="AR131" s="27"/>
      <c r="AS131" s="27"/>
      <c r="AT131" s="27"/>
      <c r="AU131" s="27"/>
      <c r="AV131" s="27"/>
      <c r="AW131" s="27"/>
      <c r="AX131" s="27"/>
      <c r="AY131" s="27"/>
      <c r="AZ131" s="27"/>
      <c r="BA131" s="27"/>
    </row>
    <row r="132" spans="41:53" hidden="1" x14ac:dyDescent="0.2">
      <c r="AP132" s="27"/>
      <c r="AQ132" s="27"/>
      <c r="AR132" s="27"/>
      <c r="AS132" s="27"/>
      <c r="AT132" s="27"/>
      <c r="AU132" s="27"/>
      <c r="AV132" s="27"/>
      <c r="AW132" s="27"/>
      <c r="AX132" s="27"/>
      <c r="AY132" s="27"/>
      <c r="AZ132" s="27"/>
      <c r="BA132" s="27"/>
    </row>
    <row r="133" spans="41:53" hidden="1" x14ac:dyDescent="0.2">
      <c r="AQ133" s="27"/>
      <c r="AR133" s="27"/>
      <c r="AS133" s="27"/>
      <c r="AT133" s="27"/>
      <c r="AU133" s="27"/>
      <c r="AV133" s="27"/>
      <c r="AW133" s="27"/>
      <c r="AX133" s="27"/>
      <c r="AY133" s="27"/>
      <c r="AZ133" s="27"/>
      <c r="BA133" s="27"/>
    </row>
    <row r="134" spans="41:53" hidden="1" x14ac:dyDescent="0.2">
      <c r="AQ134" s="27"/>
      <c r="AR134" s="27"/>
      <c r="AS134" s="27"/>
      <c r="AT134" s="27"/>
      <c r="AU134" s="27"/>
      <c r="AV134" s="27"/>
      <c r="AW134" s="27"/>
      <c r="AX134" s="27"/>
      <c r="AY134" s="27"/>
      <c r="AZ134" s="27"/>
      <c r="BA134" s="27"/>
    </row>
    <row r="135" spans="41:53" hidden="1" x14ac:dyDescent="0.2">
      <c r="AR135" s="27"/>
      <c r="AS135" s="27"/>
      <c r="AT135" s="27"/>
      <c r="AU135" s="27"/>
      <c r="AV135" s="27"/>
      <c r="AW135" s="27"/>
      <c r="AX135" s="27"/>
      <c r="AY135" s="27"/>
      <c r="AZ135" s="27"/>
      <c r="BA135" s="27"/>
    </row>
    <row r="136" spans="41:53" hidden="1" x14ac:dyDescent="0.2">
      <c r="AR136" s="27"/>
      <c r="AS136" s="27"/>
      <c r="AT136" s="27"/>
      <c r="AU136" s="27"/>
      <c r="AV136" s="27"/>
      <c r="AW136" s="27"/>
      <c r="AX136" s="27"/>
      <c r="AY136" s="27"/>
      <c r="AZ136" s="27"/>
      <c r="BA136" s="27"/>
    </row>
    <row r="137" spans="41:53" hidden="1" x14ac:dyDescent="0.2">
      <c r="AS137" s="27"/>
      <c r="AT137" s="27"/>
      <c r="AU137" s="27"/>
      <c r="AV137" s="27"/>
      <c r="AW137" s="27"/>
      <c r="AX137" s="27"/>
      <c r="AY137" s="27"/>
      <c r="AZ137" s="27"/>
      <c r="BA137" s="27"/>
    </row>
    <row r="138" spans="41:53" hidden="1" x14ac:dyDescent="0.2">
      <c r="AS138" s="27"/>
      <c r="AT138" s="27"/>
      <c r="AU138" s="27"/>
      <c r="AV138" s="27"/>
      <c r="AW138" s="27"/>
      <c r="AX138" s="27"/>
      <c r="AY138" s="27"/>
      <c r="AZ138" s="27"/>
      <c r="BA138" s="27"/>
    </row>
    <row r="139" spans="41:53" hidden="1" x14ac:dyDescent="0.2">
      <c r="AT139" s="27"/>
      <c r="AU139" s="27"/>
      <c r="AV139" s="27"/>
      <c r="AW139" s="27"/>
      <c r="AX139" s="27"/>
      <c r="AY139" s="27"/>
      <c r="AZ139" s="27"/>
      <c r="BA139" s="27"/>
    </row>
    <row r="140" spans="41:53" hidden="1" x14ac:dyDescent="0.2">
      <c r="AT140" s="27"/>
      <c r="AU140" s="27"/>
      <c r="AV140" s="27"/>
      <c r="AW140" s="27"/>
      <c r="AX140" s="27"/>
      <c r="AY140" s="27"/>
      <c r="AZ140" s="27"/>
      <c r="BA140" s="27"/>
    </row>
    <row r="141" spans="41:53" hidden="1" x14ac:dyDescent="0.2">
      <c r="AU141" s="27"/>
      <c r="AV141" s="27"/>
      <c r="AW141" s="27"/>
      <c r="AX141" s="27"/>
      <c r="AY141" s="27"/>
      <c r="AZ141" s="27"/>
      <c r="BA141" s="27"/>
    </row>
    <row r="142" spans="41:53" hidden="1" x14ac:dyDescent="0.2">
      <c r="AU142" s="27"/>
      <c r="AV142" s="27"/>
      <c r="AW142" s="27"/>
      <c r="AX142" s="27"/>
      <c r="AY142" s="27"/>
      <c r="AZ142" s="27"/>
      <c r="BA142" s="27"/>
    </row>
    <row r="143" spans="41:53" hidden="1" x14ac:dyDescent="0.2">
      <c r="AV143" s="27"/>
      <c r="AW143" s="27"/>
      <c r="AX143" s="27"/>
      <c r="AY143" s="27"/>
      <c r="AZ143" s="27"/>
      <c r="BA143" s="27"/>
    </row>
    <row r="144" spans="41:53" hidden="1" x14ac:dyDescent="0.2">
      <c r="AV144" s="27"/>
      <c r="AW144" s="27"/>
      <c r="AX144" s="27"/>
      <c r="AY144" s="27"/>
      <c r="AZ144" s="27"/>
      <c r="BA144" s="27"/>
    </row>
    <row r="145" spans="49:53" hidden="1" x14ac:dyDescent="0.2">
      <c r="AW145" s="27"/>
      <c r="AX145" s="27"/>
      <c r="AY145" s="27"/>
      <c r="AZ145" s="27"/>
      <c r="BA145" s="27"/>
    </row>
    <row r="146" spans="49:53" hidden="1" x14ac:dyDescent="0.2">
      <c r="AW146" s="27"/>
      <c r="AX146" s="27"/>
      <c r="AY146" s="27"/>
      <c r="AZ146" s="27"/>
      <c r="BA146" s="27"/>
    </row>
    <row r="147" spans="49:53" hidden="1" x14ac:dyDescent="0.2">
      <c r="AX147" s="27"/>
      <c r="AY147" s="27"/>
      <c r="AZ147" s="27"/>
      <c r="BA147" s="27"/>
    </row>
    <row r="148" spans="49:53" hidden="1" x14ac:dyDescent="0.2">
      <c r="AX148" s="27"/>
      <c r="AY148" s="27"/>
      <c r="AZ148" s="27"/>
      <c r="BA148" s="27"/>
    </row>
    <row r="149" spans="49:53" hidden="1" x14ac:dyDescent="0.2">
      <c r="AY149" s="27"/>
      <c r="AZ149" s="27"/>
      <c r="BA149" s="27"/>
    </row>
    <row r="150" spans="49:53" hidden="1" x14ac:dyDescent="0.2">
      <c r="AY150" s="27"/>
      <c r="AZ150" s="27"/>
      <c r="BA150" s="27"/>
    </row>
    <row r="151" spans="49:53" hidden="1" x14ac:dyDescent="0.2">
      <c r="AZ151" s="27"/>
      <c r="BA151" s="27"/>
    </row>
    <row r="152" spans="49:53" hidden="1" x14ac:dyDescent="0.2">
      <c r="AZ152" s="27"/>
      <c r="BA152" s="27"/>
    </row>
    <row r="153" spans="49:53" hidden="1" x14ac:dyDescent="0.2">
      <c r="BA153" s="27"/>
    </row>
    <row r="154" spans="49:53" hidden="1" x14ac:dyDescent="0.2">
      <c r="BA154" s="27"/>
    </row>
  </sheetData>
  <sheetProtection sheet="1" objects="1" scenarios="1"/>
  <conditionalFormatting sqref="A2:AP78">
    <cfRule type="expression" dxfId="3" priority="1" stopIfTrue="1">
      <formula>$A2=aantal_ploegen</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B1:AA13"/>
  <sheetViews>
    <sheetView showGridLines="0" topLeftCell="A4" workbookViewId="0">
      <selection activeCell="AC4" sqref="AC4"/>
    </sheetView>
  </sheetViews>
  <sheetFormatPr defaultColWidth="9.140625" defaultRowHeight="14.25" zeroHeight="1" x14ac:dyDescent="0.2"/>
  <cols>
    <col min="1" max="1" width="3.42578125" customWidth="1"/>
    <col min="2" max="5" width="10.85546875" customWidth="1"/>
    <col min="6" max="6" width="10" style="152" customWidth="1"/>
    <col min="7" max="7" width="11.5703125" customWidth="1"/>
    <col min="8" max="9" width="10" customWidth="1"/>
    <col min="10" max="10" width="11.5703125" style="189" customWidth="1"/>
    <col min="11" max="13" width="10" customWidth="1"/>
    <col min="14" max="14" width="13" style="152" customWidth="1"/>
    <col min="15" max="15" width="3.42578125" customWidth="1"/>
    <col min="16" max="19" width="10.85546875" customWidth="1"/>
    <col min="20" max="20" width="9.140625" style="156" customWidth="1"/>
    <col min="21" max="22" width="10" style="156" customWidth="1"/>
    <col min="23" max="23" width="10" customWidth="1"/>
    <col min="24" max="25" width="9.140625" customWidth="1"/>
    <col min="26" max="26" width="47.28515625" customWidth="1"/>
    <col min="27" max="32" width="9.140625" customWidth="1"/>
  </cols>
  <sheetData>
    <row r="1" spans="2:27" s="152" customFormat="1" ht="15" hidden="1" thickBot="1" x14ac:dyDescent="0.25">
      <c r="B1" s="196"/>
      <c r="C1" s="196"/>
      <c r="D1" s="196"/>
      <c r="E1" s="196"/>
      <c r="F1" s="196"/>
      <c r="G1" s="196"/>
      <c r="H1" s="196"/>
      <c r="I1" s="196"/>
      <c r="J1" s="189"/>
      <c r="K1" s="196"/>
      <c r="L1" s="196"/>
      <c r="M1" s="196"/>
      <c r="N1" s="196"/>
      <c r="O1" s="196"/>
      <c r="P1" s="196"/>
      <c r="Q1" s="196"/>
      <c r="R1" s="196"/>
      <c r="S1" s="196"/>
      <c r="T1" s="156"/>
      <c r="U1" s="156"/>
      <c r="V1" s="156"/>
    </row>
    <row r="2" spans="2:27" s="152" customFormat="1" ht="15" hidden="1" thickBot="1" x14ac:dyDescent="0.25">
      <c r="B2" s="196"/>
      <c r="C2" s="196"/>
      <c r="D2" s="196"/>
      <c r="E2" s="196"/>
      <c r="F2" s="196"/>
      <c r="G2" s="196"/>
      <c r="H2" s="196"/>
      <c r="I2" s="196"/>
      <c r="J2" s="189"/>
      <c r="K2" s="196"/>
      <c r="L2" s="196"/>
      <c r="M2" s="196"/>
      <c r="N2" s="196"/>
      <c r="O2" s="196"/>
      <c r="P2" s="196"/>
      <c r="Q2" s="196"/>
      <c r="R2" s="196"/>
      <c r="S2" s="196"/>
      <c r="T2" s="156"/>
      <c r="U2" s="156"/>
      <c r="V2" s="156"/>
    </row>
    <row r="3" spans="2:27" ht="15" hidden="1" thickBot="1" x14ac:dyDescent="0.25">
      <c r="B3" s="196"/>
      <c r="C3" s="196"/>
      <c r="D3" s="196"/>
      <c r="E3" s="196"/>
      <c r="F3" s="196"/>
      <c r="G3" s="196"/>
      <c r="H3" s="196"/>
      <c r="I3" s="196"/>
      <c r="K3" s="196"/>
      <c r="L3" s="196"/>
      <c r="M3" s="196"/>
      <c r="N3" s="196"/>
      <c r="O3" s="196"/>
      <c r="P3" s="196"/>
      <c r="Q3" s="196"/>
      <c r="R3" s="196"/>
      <c r="S3" s="196"/>
    </row>
    <row r="4" spans="2:27" ht="54" customHeight="1" thickBot="1" x14ac:dyDescent="0.3">
      <c r="B4" s="188" t="s">
        <v>74</v>
      </c>
      <c r="C4" s="175"/>
      <c r="D4" s="175"/>
      <c r="E4" s="175"/>
      <c r="F4" s="174"/>
      <c r="G4" s="174"/>
      <c r="H4" s="174"/>
      <c r="I4" s="177"/>
      <c r="J4" s="190"/>
      <c r="K4" s="177"/>
      <c r="L4" s="177"/>
      <c r="M4" s="178"/>
      <c r="N4" s="193"/>
      <c r="O4" s="196"/>
      <c r="P4" s="160" t="s">
        <v>75</v>
      </c>
      <c r="Q4" s="161"/>
      <c r="R4" s="162"/>
      <c r="S4" s="163"/>
      <c r="T4" s="164"/>
      <c r="U4" s="165"/>
    </row>
    <row r="5" spans="2:27" ht="39" thickBot="1" x14ac:dyDescent="0.25">
      <c r="B5" s="16" t="s">
        <v>76</v>
      </c>
      <c r="C5" s="17" t="s">
        <v>77</v>
      </c>
      <c r="D5" s="17" t="s">
        <v>51</v>
      </c>
      <c r="E5" s="18" t="s">
        <v>78</v>
      </c>
      <c r="F5" s="176" t="s">
        <v>79</v>
      </c>
      <c r="G5" s="176"/>
      <c r="H5" s="176" t="s">
        <v>77</v>
      </c>
      <c r="I5" s="176" t="s">
        <v>78</v>
      </c>
      <c r="J5" s="191"/>
      <c r="K5" s="176" t="s">
        <v>77</v>
      </c>
      <c r="L5" s="176" t="s">
        <v>78</v>
      </c>
      <c r="M5" s="176" t="s">
        <v>79</v>
      </c>
      <c r="N5" s="194"/>
      <c r="O5" s="10"/>
      <c r="P5" s="157" t="s">
        <v>76</v>
      </c>
      <c r="Q5" s="158" t="s">
        <v>77</v>
      </c>
      <c r="R5" s="159" t="s">
        <v>78</v>
      </c>
      <c r="S5" s="192" t="s">
        <v>79</v>
      </c>
      <c r="T5" s="169" t="s">
        <v>80</v>
      </c>
      <c r="U5" s="170" t="s">
        <v>78</v>
      </c>
      <c r="X5" s="196"/>
    </row>
    <row r="6" spans="2:27" ht="12.75" customHeight="1" x14ac:dyDescent="0.2">
      <c r="B6" s="19">
        <v>30</v>
      </c>
      <c r="C6" s="20" cm="1">
        <f t="array" aca="1" ref="C6" ca="1">IF(Aantal_30&gt;0,SUM(INDEX(tbl_prijzengeld,aantal_ploegen-3,COLUMN(INDIRECT("A:"&amp;IF(Aantal_30&gt;26,"A"&amp;CHAR(64+Aantal_30),CHAR(64+Aantal_30)))))),0)</f>
        <v>0</v>
      </c>
      <c r="D6" s="20">
        <f>COUNTIF(tbl_uitslag_punten,30)</f>
        <v>0</v>
      </c>
      <c r="E6" s="20">
        <f>IF(Aantal_30=0,0,ROUND(C6/Aantal_30,1))</f>
        <v>0</v>
      </c>
      <c r="F6" s="181">
        <f ca="1">C6-E6*Aantal_30</f>
        <v>0</v>
      </c>
      <c r="G6" s="343" t="s">
        <v>81</v>
      </c>
      <c r="H6" s="181">
        <f ca="1">C6-F6</f>
        <v>0</v>
      </c>
      <c r="I6" s="181">
        <f>IF(Aantal_30&lt;1,0,ROUND(H6/Aantal_30,1))</f>
        <v>0</v>
      </c>
      <c r="J6" s="343" t="s">
        <v>82</v>
      </c>
      <c r="K6" s="181">
        <f ca="1">IF(I7&lt;0.5,H6+C7,H6)</f>
        <v>0</v>
      </c>
      <c r="L6" s="182">
        <f>IF(Aantal_30&gt;0,ROUND(K6/Aantal_30,1),0)</f>
        <v>0</v>
      </c>
      <c r="M6" s="185">
        <f ca="1">ROUND(K6-L6*Aantal_30,1)</f>
        <v>0</v>
      </c>
      <c r="N6" s="196">
        <f>IF(varDoorschuiven="Nee",R6,INDEX(Bedrag_per_ploeg,1,1))</f>
        <v>0</v>
      </c>
      <c r="O6" s="10"/>
      <c r="P6" s="19">
        <v>30</v>
      </c>
      <c r="Q6" s="20">
        <f ca="1">IF(E7&lt;0.5,C6+C7,C6)</f>
        <v>0</v>
      </c>
      <c r="R6" s="166">
        <f>IF(Aantal_30&lt;1,0,ROUND(Q6/Aantal_30,1))</f>
        <v>0</v>
      </c>
      <c r="S6" s="172">
        <f ca="1">Q6-Aantal_30*Bedrag_per_ploeg_30</f>
        <v>0</v>
      </c>
      <c r="T6" s="172">
        <f ca="1">Q6</f>
        <v>0</v>
      </c>
      <c r="U6" s="21">
        <f>IF(Aantal_30&gt;0,ROUND(T6/Aantal_30,1),0)</f>
        <v>0</v>
      </c>
      <c r="AA6" s="196" t="e" cm="1">
        <f t="array" aca="1" ref="AA6" ca="1">COLUMN(INDIRECT("A:"&amp;IF(Aantal_30&gt;26,"A"&amp;CHAR(64+Aantal_30),CHAR(64+Aantal_30))))</f>
        <v>#REF!</v>
      </c>
    </row>
    <row r="7" spans="2:27" ht="12.75" x14ac:dyDescent="0.2">
      <c r="B7" s="11">
        <v>29</v>
      </c>
      <c r="C7" s="12" cm="1">
        <f t="array" aca="1" ref="C7" ca="1">IF(Aantal_30+Aantal_29+1&gt;31,0,IF(Aantal_29&gt;0,SUM(INDEX(tbl_prijzengeld,aantal_ploegen-3,COLUMN(INDIRECT(IF(Aantal_30+1&gt;26,"A"&amp;CHAR(64+Aantal_30+1),CHAR(64+Aantal_30+1))&amp;":"&amp;IF(Aantal_30+Aantal_29&gt;26,"A"&amp;CHAR(64+Aantal_30+Aantal_29),CHAR(64+Aantal_30+Aantal_29)))))),0))</f>
        <v>0</v>
      </c>
      <c r="D7" s="12">
        <f>COUNTIF(tbl_uitslag_punten,29)</f>
        <v>0</v>
      </c>
      <c r="E7" s="12">
        <f>IF(Aantal_29=0,0,ROUND(C7/Aantal_29,1))</f>
        <v>0</v>
      </c>
      <c r="F7" s="179">
        <f ca="1">C7-E7*Aantal_29</f>
        <v>0</v>
      </c>
      <c r="G7" s="344"/>
      <c r="H7" s="179">
        <f ca="1">IF(AND(C7&gt;0, SUM($F$6:F6)&gt;0, SUM(E8:$E$12)=0),
     C7 + SUM($F$6:F6),
     C7
 )
 - IF(F7&gt;0,F7,0)</f>
        <v>0</v>
      </c>
      <c r="I7" s="179">
        <f>IF(Aantal_29&lt;1,0,ROUND(H7/Aantal_29,1))</f>
        <v>0</v>
      </c>
      <c r="J7" s="344"/>
      <c r="K7" s="179">
        <f>IF(I8&lt;0.5,IF(I7&lt;0.5,0,C7+C8),H7)</f>
        <v>0</v>
      </c>
      <c r="L7" s="180">
        <f>IF(Aantal_29&gt;0,ROUND(K7/Aantal_29,1),0)</f>
        <v>0</v>
      </c>
      <c r="M7" s="186">
        <f>ROUND(K7-L7*Aantal_29,1)</f>
        <v>0</v>
      </c>
      <c r="N7" s="196">
        <f>IF(varDoorschuiven="Nee",R7,INDEX(Bedrag_per_ploeg,2,1))</f>
        <v>0</v>
      </c>
      <c r="O7" s="10"/>
      <c r="P7" s="11">
        <v>29</v>
      </c>
      <c r="Q7" s="12">
        <f>IF(E8&lt;0.5,IF(E7&lt;0.5,0,C7+C8),IF(E8&lt;0.5,0,C7))</f>
        <v>0</v>
      </c>
      <c r="R7" s="167">
        <f>IF(Aantal_29&lt;1,0,ROUND(Q7/Aantal_29,1))</f>
        <v>0</v>
      </c>
      <c r="S7" s="171">
        <f>Q7-Aantal_29*Bedrag_per_ploeg_29</f>
        <v>0</v>
      </c>
      <c r="T7" s="171">
        <f ca="1">IF(AND(Q7&gt;0,SUM($S$6:S6)&gt;0,SUM(R8:$R$12)=0),Q7+SUM($S$6:S6),Q7)</f>
        <v>0</v>
      </c>
      <c r="U7" s="13">
        <f>IF(Aantal_29&gt;0,ROUND(T7/Aantal_29,1),0)</f>
        <v>0</v>
      </c>
      <c r="X7" s="196"/>
      <c r="AA7" s="196" t="e" cm="1">
        <f t="array" aca="1" ref="AA7" ca="1">COLUMN(INDIRECT(IF(Aantal_30+1&gt;26,"A"&amp;CHAR(64+Aantal_30+1),CHAR(64+Aantal_30+1))&amp;":"&amp;IF(Aantal_30+Aantal_29&gt;26,"A"&amp;CHAR(64+Aantal_30+Aantal_29),CHAR(64+Aantal_30+Aantal_29))))</f>
        <v>#REF!</v>
      </c>
    </row>
    <row r="8" spans="2:27" ht="12.75" x14ac:dyDescent="0.2">
      <c r="B8" s="11">
        <v>28</v>
      </c>
      <c r="C8" s="12" cm="1">
        <f t="array" aca="1" ref="C8" ca="1">IF(Aantal_30+Aantal_29+1&gt;31,0,IF(Aantal_28&gt;0,SUM(INDEX(tbl_prijzengeld,aantal_ploegen-3,COLUMN(INDIRECT(IF(Aantal_30+Aantal_29+1&gt;26,"A"&amp;CHAR(64+Aantal_30+Aantal_29+1-26),CHAR(64+Aantal_30+Aantal_29+1))&amp;":"&amp;IF(Aantal_30+Aantal_29+Aantal_28&gt;26,"A"&amp;CHAR(64+Aantal_30+Aantal_29+Aantal_28-26),CHAR(64+Aantal_30+Aantal_29+Aantal_28)))))),0))</f>
        <v>0</v>
      </c>
      <c r="D8" s="12">
        <f>COUNTIF(tbl_uitslag_punten,28)</f>
        <v>0</v>
      </c>
      <c r="E8" s="12">
        <f>IF(Aantal_28=0,0,ROUND(C8/Aantal_28,1))</f>
        <v>0</v>
      </c>
      <c r="F8" s="179">
        <f ca="1">C8-E8*Aantal_28</f>
        <v>0</v>
      </c>
      <c r="G8" s="344"/>
      <c r="H8" s="179">
        <f ca="1">IF(AND(C8&gt;0, SUM($F$6:F7)&gt;0, SUM(E9:$E$12)=0),
     C8 + SUM($F$6:F7),
     C8
 )
 - IF(F8&gt;0,F8,0)</f>
        <v>0</v>
      </c>
      <c r="I8" s="179">
        <f>IF(Aantal_28&lt;1,0,ROUND(H8/Aantal_28,1))</f>
        <v>0</v>
      </c>
      <c r="J8" s="344"/>
      <c r="K8" s="179">
        <f t="shared" ref="K8:K11" si="0">IF(I9&lt;0.5,IF(I8&lt;0.5,0,C8+C9),H8)</f>
        <v>0</v>
      </c>
      <c r="L8" s="180">
        <f>IF(Aantal_28&gt;0,ROUND(K8/Aantal_28,1),0)</f>
        <v>0</v>
      </c>
      <c r="M8" s="186">
        <f>ROUND(K8-L8*Aantal_28,1)</f>
        <v>0</v>
      </c>
      <c r="N8" s="196">
        <f>IF(varDoorschuiven="Nee",R8,INDEX(Bedrag_per_ploeg,3,1))</f>
        <v>0</v>
      </c>
      <c r="O8" s="10"/>
      <c r="P8" s="11">
        <v>28</v>
      </c>
      <c r="Q8" s="12">
        <f>IF(E9&lt;0.5,IF(E8&lt;0.5,0,C8+C9),IF(E9&lt;0.5,0,C8))</f>
        <v>0</v>
      </c>
      <c r="R8" s="167">
        <f>IF(Aantal_28&lt;1,0,ROUND(Q8/Aantal_28,1))</f>
        <v>0</v>
      </c>
      <c r="S8" s="171">
        <f>Q8-Aantal_28*Bedrag_per_ploeg_28</f>
        <v>0</v>
      </c>
      <c r="T8" s="171">
        <f ca="1">IF(AND(Q8&gt;0,SUM($S$6:S7)&gt;0,SUM(R9:$R$12)=0),Q8+SUM($S$6:S7),Q8)</f>
        <v>0</v>
      </c>
      <c r="U8" s="13">
        <f>IF(Aantal_28&gt;0,ROUND(T8/Aantal_28,1),0)</f>
        <v>0</v>
      </c>
      <c r="X8" s="196"/>
      <c r="AA8" t="e" cm="1">
        <f t="array" aca="1" ref="AA8" ca="1">COLUMN(INDIRECT(IF(Aantal_30+Aantal_29+1&gt;26,"A"&amp;CHAR(64+Aantal_30+Aantal_29+1-26),CHAR(64+Aantal_30+Aantal_29+1))&amp;":"&amp;IF(Aantal_30+Aantal_29+Aantal_28&gt;26,"A"&amp;CHAR(64+Aantal_30+Aantal_29+Aantal_28-26),CHAR(64+Aantal_30+Aantal_29+Aantal_28))))</f>
        <v>#REF!</v>
      </c>
    </row>
    <row r="9" spans="2:27" ht="12.75" x14ac:dyDescent="0.2">
      <c r="B9" s="11">
        <v>27</v>
      </c>
      <c r="C9" s="12" cm="1">
        <f t="array" aca="1" ref="C9" ca="1">IF(Aantal_30+Aantal_29+Aantal_28+1&gt;31,0,IF(Aantal_27&gt;0,SUM(INDEX(tbl_prijzengeld,aantal_ploegen-3,COLUMN(INDIRECT(IF(Aantal_30+Aantal_29+Aantal_28+1&gt;26,"A"&amp;CHAR(64+Aantal_30+Aantal_29+Aantal_28+1-26),CHAR(64+Aantal_30+Aantal_29+Aantal_28+1))&amp;":"&amp;IF(Aantal_30+Aantal_29+Aantal_28+Aantal_27&gt;26,"A"&amp;CHAR(64+Aantal_30+Aantal_29+Aantal_28+Aantal_27-26),CHAR(64+Aantal_30+Aantal_29+Aantal_28+Aantal_27)))))),0))</f>
        <v>0</v>
      </c>
      <c r="D9" s="12">
        <f>COUNTIF(tbl_uitslag_punten,27)</f>
        <v>0</v>
      </c>
      <c r="E9" s="12">
        <f>IF(Aantal_27=0,0,ROUND(C9/Aantal_27,1))</f>
        <v>0</v>
      </c>
      <c r="F9" s="179">
        <f ca="1">C9-E9*Aantal_27</f>
        <v>0</v>
      </c>
      <c r="G9" s="344"/>
      <c r="H9" s="179">
        <f ca="1">IF(AND(C9&gt;0, SUM($F$6:F8)&gt;0, SUM(E10:$E$12)=0),
     C9 + SUM($F$6:F8),
     C9
 )
 - IF(F9&gt;0,F9,0)</f>
        <v>0</v>
      </c>
      <c r="I9" s="179">
        <f>IF(Aantal_27&lt;1,0,ROUND(H9/Aantal_27,1))</f>
        <v>0</v>
      </c>
      <c r="J9" s="344"/>
      <c r="K9" s="179">
        <f t="shared" si="0"/>
        <v>0</v>
      </c>
      <c r="L9" s="180">
        <f>IF(Aantal_27&gt;0,ROUND(K9/Aantal_27,1),0)</f>
        <v>0</v>
      </c>
      <c r="M9" s="186">
        <f>ROUND(K9-L9*Aantal_27,1)</f>
        <v>0</v>
      </c>
      <c r="N9" s="196">
        <f>IF(varDoorschuiven="Nee",R9,INDEX(Bedrag_per_ploeg,4,1))</f>
        <v>0</v>
      </c>
      <c r="O9" s="10"/>
      <c r="P9" s="11">
        <v>27</v>
      </c>
      <c r="Q9" s="12">
        <f>IF(E10&lt;0.5,IF(E9&lt;0.5,0,C9+C10),IF(E10&lt;0.5,0,C9))</f>
        <v>0</v>
      </c>
      <c r="R9" s="167">
        <f>IF(Aantal_27&lt;1,0,ROUND(Q9/Aantal_27,1))</f>
        <v>0</v>
      </c>
      <c r="S9" s="171">
        <f>Q9-Aantal_27*Bedrag_per_ploeg_27</f>
        <v>0</v>
      </c>
      <c r="T9" s="171">
        <f ca="1">IF(AND(Q9&gt;0,SUM($S$6:S8)&gt;0,SUM(R10:$R$12)=0),Q9+SUM($S$6:S8),Q9)</f>
        <v>0</v>
      </c>
      <c r="U9" s="13">
        <f>IF(Aantal_27&gt;0,ROUND(T9/Aantal_27,1),0)</f>
        <v>0</v>
      </c>
      <c r="X9" s="196"/>
      <c r="AA9" t="e" cm="1">
        <f t="array" aca="1" ref="AA9" ca="1">COLUMN(INDIRECT(IF(Aantal_30+Aantal_29+Aantal_28+1&gt;26,"A"&amp;CHAR(64+Aantal_30+Aantal_29+Aantal_28+1-26),CHAR(64+Aantal_30+Aantal_29+Aantal_28+1))&amp;":"&amp;IF(Aantal_30+Aantal_29+Aantal_28+Aantal_27&gt;26,"A"&amp;CHAR(64+Aantal_30+Aantal_29+Aantal_28+Aantal_27-26),CHAR(64+Aantal_30+Aantal_29+Aantal_28+Aantal_27))))</f>
        <v>#REF!</v>
      </c>
    </row>
    <row r="10" spans="2:27" ht="12.75" x14ac:dyDescent="0.2">
      <c r="B10" s="11">
        <v>26</v>
      </c>
      <c r="C10" s="12" cm="1">
        <f t="array" aca="1" ref="C10" ca="1">IF(Aantal_30+Aantal_29+Aantal_28+Aantal_27+1&gt;31,0,IF(Aantal_30+Aantal_29+Aantal_28+Aantal_27+1&gt;30,0,IF(Aantal_26&gt;0,SUM(INDEX(tbl_prijzengeld,aantal_ploegen-3,COLUMN(INDIRECT(IF(Aantal_30+Aantal_29+Aantal_28+Aantal_27+1&gt;26,"A"&amp;CHAR(64+Aantal_30+Aantal_29+Aantal_28+Aantal_27+1-26),CHAR(64+Aantal_30+Aantal_29+Aantal_28+Aantal_27+1))&amp;":"&amp;IF(Aantal_30+Aantal_29+Aantal_28+Aantal_27+Aantal_26&gt;26,"A"&amp;CHAR(64+Aantal_30+Aantal_29+Aantal_28+Aantal_27+Aantal_26-26),CHAR(64+Aantal_30+Aantal_29+Aantal_28+Aantal_27+Aantal_26)))))),0)))</f>
        <v>0</v>
      </c>
      <c r="D10" s="12">
        <f>COUNTIF(tbl_uitslag_punten,26)</f>
        <v>0</v>
      </c>
      <c r="E10" s="12">
        <f>IF(Aantal_26=0,0,ROUND(C10/Aantal_26,1))</f>
        <v>0</v>
      </c>
      <c r="F10" s="179">
        <f ca="1">C10-E10*Aantal_26</f>
        <v>0</v>
      </c>
      <c r="G10" s="345"/>
      <c r="H10" s="179">
        <f ca="1">IF(AND(C10&gt;0, SUM($F$6:F9)&gt;0, SUM(E11:$E$12)=0),
     C10 + SUM($F$6:F9),
     C10
 )
 - IF(F10&gt;0,F10,0)</f>
        <v>0</v>
      </c>
      <c r="I10" s="179">
        <f>IF(Aantal_26&lt;1,0,ROUND(H10/Aantal_26,1))</f>
        <v>0</v>
      </c>
      <c r="J10" s="345"/>
      <c r="K10" s="179">
        <f t="shared" si="0"/>
        <v>0</v>
      </c>
      <c r="L10" s="180">
        <f>IF(Aantal_26&gt;0,ROUND(K10/Aantal_26,1),0)</f>
        <v>0</v>
      </c>
      <c r="M10" s="186">
        <f>ROUND(K10-L10*Aantal_26,1)</f>
        <v>0</v>
      </c>
      <c r="N10" s="196">
        <f>IF(varDoorschuiven="Nee",R10,INDEX(Bedrag_per_ploeg,5,1))</f>
        <v>0</v>
      </c>
      <c r="O10" s="10"/>
      <c r="P10" s="11">
        <v>26</v>
      </c>
      <c r="Q10" s="12">
        <f>IF(E11&lt;0.5,IF(E10&lt;0.5,0,C10+C11),IF(E11&lt;0.5,0,C10))</f>
        <v>0</v>
      </c>
      <c r="R10" s="167">
        <f>IF(Aantal_26&lt;1,0,ROUND(Q10/Aantal_26,1))</f>
        <v>0</v>
      </c>
      <c r="S10" s="171">
        <f>Q10-Aantal_26*Bedrag_per_ploeg_26</f>
        <v>0</v>
      </c>
      <c r="T10" s="171">
        <f ca="1">IF(AND(Q10&gt;0,SUM($S$6:S9)&gt;0,SUM(R11:$R$12)=0),Q10+SUM($S$6:S9),Q10)</f>
        <v>0</v>
      </c>
      <c r="U10" s="13">
        <f>IF(Aantal_26&gt;0,ROUND(T10/Aantal_26,1),0)</f>
        <v>0</v>
      </c>
      <c r="X10" s="196"/>
      <c r="AA10" s="196" t="e" cm="1">
        <f t="array" aca="1" ref="AA10" ca="1">COLUMN(INDIRECT(IF(Aantal_30+Aantal_29+Aantal_28+Aantal_27+1&gt;26,"A"&amp;CHAR(64+Aantal_30+Aantal_29+Aantal_28+Aantal_27+1-26),CHAR(64+Aantal_30+Aantal_29+Aantal_28+Aantal_27+1))&amp;":"&amp;IF(Aantal_30+Aantal_29+Aantal_28+Aantal_27+Aantal_26&gt;26,"A"&amp;CHAR(64+Aantal_30+Aantal_29+Aantal_28+Aantal_27+Aantal_26-26),CHAR(64+Aantal_30+Aantal_29+Aantal_28+Aantal_27+Aantal_26))))</f>
        <v>#REF!</v>
      </c>
    </row>
    <row r="11" spans="2:27" ht="12.75" x14ac:dyDescent="0.2">
      <c r="B11" s="11">
        <v>25</v>
      </c>
      <c r="C11" s="12" cm="1">
        <f t="array" aca="1" ref="C11" ca="1">IF(Aantal_30+Aantal_29+Aantal_28+Aantal_27+Aantal_26+1&gt;31,0,IF(Aantal_30+Aantal_29+Aantal_28+Aantal_27+Aantal_26+1&gt;30,0,IF(Aantal_25&gt;0,SUM(INDEX(tbl_prijzengeld,aantal_ploegen-3,COLUMN(INDIRECT(IF(Aantal_30+Aantal_29+Aantal_28+Aantal_27+Aantal_26+1&gt;26,"A"&amp;CHAR(64+Aantal_30+Aantal_29+Aantal_28+Aantal_27+Aantal_26+1-26),CHAR(64+Aantal_30+Aantal_29+Aantal_28+Aantal_27+Aantal_26+1))&amp;":"&amp;IF(Aantal_30+Aantal_29+Aantal_28+Aantal_27+Aantal_26+Aantal_25&gt;26,"A"&amp;CHAR(64+Aantal_30+Aantal_29+Aantal_28+Aantal_27+Aantal_26+Aantal_25-26),CHAR(64+Aantal_30+Aantal_29+Aantal_28+Aantal_27+Aantal_26+Aantal_25)))))),0)))</f>
        <v>0</v>
      </c>
      <c r="D11" s="12">
        <f>COUNTIF(tbl_uitslag_punten,25)</f>
        <v>0</v>
      </c>
      <c r="E11" s="12">
        <f>IF(Aantal_25=0,0,ROUND(C11/Aantal_25,1))</f>
        <v>0</v>
      </c>
      <c r="F11" s="179">
        <f ca="1">C11-E11*Aantal_25</f>
        <v>0</v>
      </c>
      <c r="G11" s="346" t="s">
        <v>83</v>
      </c>
      <c r="H11" s="179">
        <f ca="1">IF(AND(C11&gt;0, SUM($F$6:F10)&gt;0, SUM(E12:$E$12)=0),
     C11 + SUM($F$6:F10),
     C11
 )
 - IF(F11&gt;0,F11,0)</f>
        <v>0</v>
      </c>
      <c r="I11" s="179">
        <f>IF(Aantal_25&lt;1,0,ROUND(H11/Aantal_25,1))</f>
        <v>0</v>
      </c>
      <c r="J11" s="348" t="s">
        <v>83</v>
      </c>
      <c r="K11" s="179">
        <f t="shared" si="0"/>
        <v>0</v>
      </c>
      <c r="L11" s="180">
        <f>IF(Aantal_25&gt;0,ROUND(K11/Aantal_25,1),0)</f>
        <v>0</v>
      </c>
      <c r="M11" s="186">
        <f>ROUND(K11-L11*Aantal_25,1)</f>
        <v>0</v>
      </c>
      <c r="N11" s="196">
        <f>IF(varDoorschuiven="Nee",R11,INDEX(Bedrag_per_ploeg,6,1))</f>
        <v>0</v>
      </c>
      <c r="O11" s="10"/>
      <c r="P11" s="11">
        <v>25</v>
      </c>
      <c r="Q11" s="12">
        <f>IF(E12&lt;0.5,IF(E11&lt;0.5,0,C11+C12),IF(E12&lt;0.5,0,C11))</f>
        <v>0</v>
      </c>
      <c r="R11" s="167">
        <f>IF(Aantal_25&lt;1,0,ROUND(Q11/Aantal_25,1))</f>
        <v>0</v>
      </c>
      <c r="S11" s="171">
        <f>Q11-Aantal_25*Bedrag_per_ploeg_25</f>
        <v>0</v>
      </c>
      <c r="T11" s="171">
        <f ca="1">IF(AND(Q11&gt;0,SUM($S$6:S10)&gt;0,SUM(R12:$R$12)=0),Q11+SUM($S$6:S10),Q11)</f>
        <v>0</v>
      </c>
      <c r="U11" s="13">
        <f>IF(Aantal_25&gt;0,ROUND(T11/Aantal_25,1),0)</f>
        <v>0</v>
      </c>
      <c r="X11" s="196"/>
      <c r="AA11" s="196" t="e" cm="1">
        <f t="array" aca="1" ref="AA11" ca="1">COLUMN(INDIRECT(IF(Aantal_30+Aantal_29+Aantal_28+Aantal_27+Aantal_26+1&gt;26,"A"&amp;CHAR(64+Aantal_30+Aantal_29+Aantal_28+Aantal_27+Aantal_26+1-26),CHAR(64+Aantal_30+Aantal_29+Aantal_28+Aantal_27+Aantal_26+1))&amp;":"&amp;IF(Aantal_30+Aantal_29+Aantal_28+Aantal_27+Aantal_26+Aantal_25&gt;26,"A"&amp;CHAR(64+Aantal_30+Aantal_29+Aantal_28+Aantal_27+Aantal_26+Aantal_25-26),CHAR(64+Aantal_30+Aantal_29+Aantal_28+Aantal_27+Aantal_26+Aantal_25))))</f>
        <v>#REF!</v>
      </c>
    </row>
    <row r="12" spans="2:27" ht="13.5" thickBot="1" x14ac:dyDescent="0.25">
      <c r="B12" s="22">
        <v>24</v>
      </c>
      <c r="C12" s="14" cm="1">
        <f t="array" aca="1" ref="C12" ca="1">IF(Aantal_30+Aantal_29+Aantal_28+Aantal_27+Aantal_26+Aantal_25+1&gt;31,0,IF(Aantal_24&gt;0,SUM(INDEX(tbl_prijzengeld,aantal_ploegen-3,COLUMN(INDIRECT(IF(Aantal_30+Aantal_29+Aantal_28+Aantal_27+Aantal_26+Aantal_25+1&gt;26,"A"&amp;CHAR(64+Aantal_30+Aantal_29+Aantal_28+Aantal_27+Aantal_26+Aantal_25+1-26),CHAR(64+Aantal_30+Aantal_29+Aantal_28+Aantal_27+Aantal_26+Aantal_25+1))&amp;":"&amp;IF(Aantal_30+Aantal_29+Aantal_28+Aantal_27+Aantal_26+Aantal_25+Aantal_24&gt;26,"A"&amp;CHAR(64+Aantal_30+Aantal_29+Aantal_28+Aantal_27+Aantal_26+Aantal_25+Aantal_24-26),CHAR(64+Aantal_30+Aantal_29+Aantal_28+Aantal_27+Aantal_26+Aantal_25+Aantal_24)))))),0))</f>
        <v>0</v>
      </c>
      <c r="D12" s="14">
        <f>COUNTIF(tbl_uitslag_punten,24)</f>
        <v>0</v>
      </c>
      <c r="E12" s="14">
        <f>IF(Aantal_24=0,0,ROUND(C12/Aantal_24,1))</f>
        <v>0</v>
      </c>
      <c r="F12" s="183">
        <f ca="1">C12-E12*Aantal_24</f>
        <v>0</v>
      </c>
      <c r="G12" s="347"/>
      <c r="H12" s="183">
        <f ca="1">IF(F12&gt;0,
     IF(AND(C12&gt;0,SUM($F$6:F11)&gt;0),
          C12+SUM($F$6:F11),
          C12-F12),
     IF(AND(C12&gt;0,SUM($F$6:F11)&gt;0),
          C12+SUM($F$6:F11),
          C12))</f>
        <v>0</v>
      </c>
      <c r="I12" s="183">
        <f>IF(Aantal_24&lt;1,0,ROUND(H12/Aantal_24,1))</f>
        <v>0</v>
      </c>
      <c r="J12" s="349"/>
      <c r="K12" s="183">
        <f ca="1">H12</f>
        <v>0</v>
      </c>
      <c r="L12" s="184">
        <f>IF(Aantal_24&gt;0,ROUND(K12/Aantal_24,1),0)</f>
        <v>0</v>
      </c>
      <c r="M12" s="187">
        <f ca="1">ROUND(K12-L12*Aantal_24,1)</f>
        <v>0</v>
      </c>
      <c r="N12" s="196">
        <f>IF(varDoorschuiven="Nee",R12,INDEX(Bedrag_per_ploeg,7,1))</f>
        <v>0</v>
      </c>
      <c r="O12" s="196"/>
      <c r="P12" s="22">
        <v>24</v>
      </c>
      <c r="Q12" s="14">
        <f>IF(E12&lt;0.5,0,C12)</f>
        <v>0</v>
      </c>
      <c r="R12" s="168">
        <f>IF(Aantal_24&lt;1,0,ROUND(Q12/Aantal_24,1))</f>
        <v>0</v>
      </c>
      <c r="S12" s="173">
        <f>Q12-Aantal_24*Bedrag_per_ploeg_24</f>
        <v>0</v>
      </c>
      <c r="T12" s="173">
        <f ca="1">IF(AND(Q12&gt;0,SUM($S$6:S11)&gt;0,SUM(S$13:$S13)=0),Q12+SUM($S$6:S11),Q12)</f>
        <v>0</v>
      </c>
      <c r="U12" s="15">
        <f>IF(Aantal_24&gt;0,ROUND(T12/Aantal_24,1),0)</f>
        <v>0</v>
      </c>
      <c r="X12" s="196"/>
      <c r="AA12" s="196" t="e" cm="1">
        <f t="array" aca="1" ref="AA12" ca="1">COLUMN(INDIRECT(IF(Aantal_30+Aantal_29+Aantal_28+Aantal_27+Aantal_26+Aantal_25+1&gt;26,"A"&amp;CHAR(64+Aantal_30+Aantal_29+Aantal_28+Aantal_27+Aantal_26+Aantal_25+1-26),CHAR(64+Aantal_30+Aantal_29+Aantal_28+Aantal_27+Aantal_26+Aantal_25+1))&amp;":"&amp;IF(Aantal_30+Aantal_29+Aantal_28+Aantal_27+Aantal_26+Aantal_25+Aantal_24&gt;26,"A"&amp;CHAR(64+Aantal_30+Aantal_29+Aantal_28+Aantal_27+Aantal_26+Aantal_25+Aantal_24-26),CHAR(64+Aantal_30+Aantal_29+Aantal_28+Aantal_27+Aantal_26+Aantal_25+Aantal_24))))</f>
        <v>#REF!</v>
      </c>
    </row>
    <row r="13" spans="2:27" x14ac:dyDescent="0.2">
      <c r="B13" s="196"/>
      <c r="C13" s="196"/>
      <c r="D13" s="196"/>
      <c r="E13" s="196"/>
      <c r="F13" s="196"/>
      <c r="G13" s="196"/>
      <c r="H13" s="196"/>
      <c r="I13" s="196"/>
      <c r="K13" s="196"/>
      <c r="L13" s="196"/>
      <c r="M13" s="196"/>
      <c r="N13" s="196">
        <f>COLUMN()</f>
        <v>14</v>
      </c>
      <c r="O13" s="196"/>
      <c r="P13" s="196"/>
      <c r="Q13" s="196"/>
      <c r="R13" s="196"/>
      <c r="S13" s="196"/>
    </row>
  </sheetData>
  <mergeCells count="4">
    <mergeCell ref="J6:J10"/>
    <mergeCell ref="G6:G10"/>
    <mergeCell ref="G11:G12"/>
    <mergeCell ref="J11:J12"/>
  </mergeCells>
  <conditionalFormatting sqref="F6:F12">
    <cfRule type="cellIs" dxfId="2" priority="2" operator="lessThan">
      <formula>0</formula>
    </cfRule>
    <cfRule type="cellIs" dxfId="1" priority="3" operator="greaterThan">
      <formula>0</formula>
    </cfRule>
  </conditionalFormatting>
  <conditionalFormatting sqref="S6:S12">
    <cfRule type="cellIs" dxfId="0" priority="1" operator="equal">
      <formula>0</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2C3F9-609B-4340-8BE8-97EF8D7B377D}">
  <sheetPr codeName="Blad9"/>
  <dimension ref="B2:I44"/>
  <sheetViews>
    <sheetView showGridLines="0" workbookViewId="0">
      <selection activeCell="I4" sqref="I4"/>
    </sheetView>
  </sheetViews>
  <sheetFormatPr defaultRowHeight="12.75" x14ac:dyDescent="0.2"/>
  <cols>
    <col min="1" max="1" width="4.85546875" customWidth="1"/>
    <col min="2" max="2" width="20.7109375" customWidth="1"/>
    <col min="3" max="3" width="4.5703125" customWidth="1"/>
    <col min="4" max="4" width="24" customWidth="1"/>
    <col min="6" max="6" width="45.140625" customWidth="1"/>
    <col min="8" max="8" width="17.7109375" bestFit="1" customWidth="1"/>
  </cols>
  <sheetData>
    <row r="2" spans="2:9" x14ac:dyDescent="0.2">
      <c r="B2" s="196" t="s">
        <v>104</v>
      </c>
      <c r="C2" s="196"/>
      <c r="D2" s="196" t="s">
        <v>105</v>
      </c>
      <c r="E2" s="196"/>
      <c r="F2" s="196" t="s">
        <v>104</v>
      </c>
    </row>
    <row r="3" spans="2:9" x14ac:dyDescent="0.2">
      <c r="B3" s="196" t="s">
        <v>43</v>
      </c>
      <c r="C3" s="196"/>
      <c r="D3" s="196" t="s">
        <v>37</v>
      </c>
      <c r="E3" s="196"/>
      <c r="F3" s="196" t="s">
        <v>106</v>
      </c>
      <c r="H3" t="s">
        <v>140</v>
      </c>
      <c r="I3" s="266">
        <f>Ploegen!AK19</f>
        <v>2</v>
      </c>
    </row>
    <row r="4" spans="2:9" x14ac:dyDescent="0.2">
      <c r="B4" s="196" t="s">
        <v>29</v>
      </c>
      <c r="C4" s="196"/>
      <c r="D4" s="196" t="s">
        <v>100</v>
      </c>
      <c r="E4" s="196"/>
      <c r="F4" s="196" t="s">
        <v>107</v>
      </c>
      <c r="H4" t="s">
        <v>141</v>
      </c>
      <c r="I4" s="266">
        <v>1</v>
      </c>
    </row>
    <row r="5" spans="2:9" x14ac:dyDescent="0.2">
      <c r="B5" s="196" t="s">
        <v>28</v>
      </c>
      <c r="C5" s="196"/>
      <c r="D5" s="196" t="s">
        <v>108</v>
      </c>
      <c r="E5" s="196"/>
      <c r="F5" s="196" t="s">
        <v>109</v>
      </c>
    </row>
    <row r="6" spans="2:9" x14ac:dyDescent="0.2">
      <c r="B6" s="196" t="s">
        <v>44</v>
      </c>
      <c r="C6" s="196"/>
      <c r="D6" s="196"/>
      <c r="E6" s="196"/>
      <c r="F6" s="196" t="s">
        <v>110</v>
      </c>
    </row>
    <row r="7" spans="2:9" x14ac:dyDescent="0.2">
      <c r="B7" s="196" t="s">
        <v>22</v>
      </c>
      <c r="C7" s="196"/>
      <c r="D7" s="196"/>
      <c r="E7" s="196"/>
      <c r="F7" s="196" t="s">
        <v>111</v>
      </c>
    </row>
    <row r="8" spans="2:9" x14ac:dyDescent="0.2">
      <c r="B8" s="196" t="s">
        <v>35</v>
      </c>
      <c r="C8" s="196"/>
      <c r="D8" s="196"/>
      <c r="E8" s="196"/>
      <c r="F8" s="196" t="s">
        <v>112</v>
      </c>
    </row>
    <row r="9" spans="2:9" x14ac:dyDescent="0.2">
      <c r="B9" s="196" t="s">
        <v>16</v>
      </c>
      <c r="C9" s="196"/>
      <c r="D9" s="196"/>
      <c r="E9" s="196"/>
      <c r="F9" s="196" t="s">
        <v>113</v>
      </c>
    </row>
    <row r="10" spans="2:9" x14ac:dyDescent="0.2">
      <c r="B10" s="196" t="s">
        <v>30</v>
      </c>
      <c r="C10" s="196"/>
      <c r="D10" s="196"/>
      <c r="E10" s="196"/>
      <c r="F10" s="196" t="s">
        <v>114</v>
      </c>
    </row>
    <row r="11" spans="2:9" x14ac:dyDescent="0.2">
      <c r="B11" s="196" t="s">
        <v>45</v>
      </c>
      <c r="C11" s="196"/>
      <c r="D11" s="196"/>
      <c r="E11" s="196"/>
      <c r="F11" s="196" t="s">
        <v>115</v>
      </c>
    </row>
    <row r="12" spans="2:9" x14ac:dyDescent="0.2">
      <c r="B12" s="196" t="s">
        <v>21</v>
      </c>
      <c r="C12" s="196"/>
      <c r="D12" s="196"/>
      <c r="E12" s="196"/>
      <c r="F12" s="196" t="s">
        <v>116</v>
      </c>
    </row>
    <row r="13" spans="2:9" x14ac:dyDescent="0.2">
      <c r="B13" s="196" t="s">
        <v>20</v>
      </c>
      <c r="C13" s="196"/>
      <c r="D13" s="196"/>
      <c r="E13" s="196"/>
      <c r="F13" s="196" t="s">
        <v>117</v>
      </c>
    </row>
    <row r="14" spans="2:9" x14ac:dyDescent="0.2">
      <c r="B14" s="196" t="s">
        <v>23</v>
      </c>
      <c r="C14" s="196"/>
      <c r="D14" s="196"/>
      <c r="E14" s="196"/>
      <c r="F14" s="196" t="s">
        <v>118</v>
      </c>
    </row>
    <row r="15" spans="2:9" x14ac:dyDescent="0.2">
      <c r="B15" s="196" t="s">
        <v>26</v>
      </c>
      <c r="C15" s="196"/>
      <c r="D15" s="196"/>
      <c r="E15" s="196"/>
      <c r="F15" s="196" t="s">
        <v>119</v>
      </c>
    </row>
    <row r="16" spans="2:9" x14ac:dyDescent="0.2">
      <c r="B16" s="196" t="s">
        <v>32</v>
      </c>
      <c r="C16" s="196"/>
      <c r="D16" s="196"/>
      <c r="E16" s="196"/>
      <c r="F16" s="196" t="s">
        <v>120</v>
      </c>
    </row>
    <row r="17" spans="2:6" x14ac:dyDescent="0.2">
      <c r="B17" s="196" t="s">
        <v>41</v>
      </c>
      <c r="C17" s="196"/>
      <c r="D17" s="196"/>
      <c r="E17" s="196"/>
      <c r="F17" s="196" t="s">
        <v>121</v>
      </c>
    </row>
    <row r="18" spans="2:6" x14ac:dyDescent="0.2">
      <c r="B18" s="196" t="s">
        <v>18</v>
      </c>
      <c r="C18" s="196"/>
      <c r="D18" s="196"/>
      <c r="E18" s="196"/>
      <c r="F18" s="196" t="s">
        <v>122</v>
      </c>
    </row>
    <row r="19" spans="2:6" x14ac:dyDescent="0.2">
      <c r="B19" s="196" t="s">
        <v>39</v>
      </c>
      <c r="C19" s="196"/>
      <c r="D19" s="196"/>
      <c r="E19" s="196"/>
      <c r="F19" s="196" t="s">
        <v>123</v>
      </c>
    </row>
    <row r="20" spans="2:6" x14ac:dyDescent="0.2">
      <c r="B20" s="196" t="s">
        <v>25</v>
      </c>
      <c r="C20" s="196"/>
      <c r="D20" s="196"/>
      <c r="E20" s="196"/>
      <c r="F20" s="196" t="s">
        <v>124</v>
      </c>
    </row>
    <row r="21" spans="2:6" x14ac:dyDescent="0.2">
      <c r="B21" s="196" t="s">
        <v>33</v>
      </c>
      <c r="C21" s="196"/>
      <c r="D21" s="196"/>
      <c r="E21" s="196"/>
      <c r="F21" s="196" t="s">
        <v>125</v>
      </c>
    </row>
    <row r="22" spans="2:6" x14ac:dyDescent="0.2">
      <c r="B22" s="147" t="s">
        <v>102</v>
      </c>
      <c r="C22" s="196"/>
      <c r="D22" s="196"/>
      <c r="E22" s="196"/>
      <c r="F22" s="147" t="s">
        <v>126</v>
      </c>
    </row>
    <row r="23" spans="2:6" x14ac:dyDescent="0.2">
      <c r="B23" s="147" t="s">
        <v>103</v>
      </c>
      <c r="C23" s="196"/>
      <c r="D23" s="196"/>
      <c r="E23" s="196"/>
      <c r="F23" s="147" t="s">
        <v>127</v>
      </c>
    </row>
    <row r="24" spans="2:6" x14ac:dyDescent="0.2">
      <c r="B24" s="147" t="s">
        <v>106</v>
      </c>
      <c r="C24" s="196"/>
      <c r="D24" s="196"/>
      <c r="E24" s="196"/>
      <c r="F24" s="196"/>
    </row>
    <row r="25" spans="2:6" x14ac:dyDescent="0.2">
      <c r="B25" s="147" t="s">
        <v>107</v>
      </c>
      <c r="C25" s="196"/>
      <c r="D25" s="196"/>
      <c r="E25" s="196"/>
      <c r="F25" s="196"/>
    </row>
    <row r="26" spans="2:6" x14ac:dyDescent="0.2">
      <c r="B26" s="147" t="s">
        <v>109</v>
      </c>
      <c r="C26" s="196"/>
      <c r="D26" s="196"/>
      <c r="E26" s="196"/>
      <c r="F26" s="196"/>
    </row>
    <row r="27" spans="2:6" x14ac:dyDescent="0.2">
      <c r="B27" s="147" t="s">
        <v>110</v>
      </c>
      <c r="C27" s="196"/>
      <c r="D27" s="196"/>
      <c r="E27" s="196"/>
      <c r="F27" s="196"/>
    </row>
    <row r="28" spans="2:6" x14ac:dyDescent="0.2">
      <c r="B28" s="147" t="s">
        <v>111</v>
      </c>
      <c r="C28" s="196"/>
      <c r="D28" s="196"/>
      <c r="E28" s="196"/>
      <c r="F28" s="196"/>
    </row>
    <row r="29" spans="2:6" x14ac:dyDescent="0.2">
      <c r="B29" s="147" t="s">
        <v>112</v>
      </c>
      <c r="C29" s="196"/>
      <c r="D29" s="196"/>
      <c r="E29" s="196"/>
      <c r="F29" s="196"/>
    </row>
    <row r="30" spans="2:6" x14ac:dyDescent="0.2">
      <c r="B30" s="147" t="s">
        <v>113</v>
      </c>
      <c r="C30" s="196"/>
      <c r="D30" s="196"/>
      <c r="E30" s="196"/>
      <c r="F30" s="196"/>
    </row>
    <row r="31" spans="2:6" x14ac:dyDescent="0.2">
      <c r="B31" s="147" t="s">
        <v>114</v>
      </c>
      <c r="C31" s="196"/>
      <c r="D31" s="196"/>
      <c r="E31" s="196"/>
      <c r="F31" s="196"/>
    </row>
    <row r="32" spans="2:6" x14ac:dyDescent="0.2">
      <c r="B32" s="147" t="s">
        <v>115</v>
      </c>
      <c r="C32" s="196"/>
      <c r="D32" s="196"/>
      <c r="E32" s="196"/>
      <c r="F32" s="196"/>
    </row>
    <row r="33" spans="2:2" x14ac:dyDescent="0.2">
      <c r="B33" s="147" t="s">
        <v>116</v>
      </c>
    </row>
    <row r="34" spans="2:2" x14ac:dyDescent="0.2">
      <c r="B34" s="147" t="s">
        <v>117</v>
      </c>
    </row>
    <row r="35" spans="2:2" x14ac:dyDescent="0.2">
      <c r="B35" s="147" t="s">
        <v>118</v>
      </c>
    </row>
    <row r="36" spans="2:2" x14ac:dyDescent="0.2">
      <c r="B36" s="147" t="s">
        <v>119</v>
      </c>
    </row>
    <row r="37" spans="2:2" x14ac:dyDescent="0.2">
      <c r="B37" s="147" t="s">
        <v>120</v>
      </c>
    </row>
    <row r="38" spans="2:2" x14ac:dyDescent="0.2">
      <c r="B38" s="147" t="s">
        <v>121</v>
      </c>
    </row>
    <row r="39" spans="2:2" x14ac:dyDescent="0.2">
      <c r="B39" s="147" t="s">
        <v>122</v>
      </c>
    </row>
    <row r="40" spans="2:2" x14ac:dyDescent="0.2">
      <c r="B40" s="147" t="s">
        <v>123</v>
      </c>
    </row>
    <row r="41" spans="2:2" x14ac:dyDescent="0.2">
      <c r="B41" s="147" t="s">
        <v>124</v>
      </c>
    </row>
    <row r="42" spans="2:2" x14ac:dyDescent="0.2">
      <c r="B42" s="147" t="s">
        <v>125</v>
      </c>
    </row>
    <row r="43" spans="2:2" x14ac:dyDescent="0.2">
      <c r="B43" s="147" t="s">
        <v>126</v>
      </c>
    </row>
    <row r="44" spans="2:2" x14ac:dyDescent="0.2">
      <c r="B44" s="147" t="s">
        <v>127</v>
      </c>
    </row>
  </sheetData>
  <pageMargins left="0.7" right="0.7" top="0.75" bottom="0.75" header="0.3" footer="0.3"/>
  <tableParts count="3">
    <tablePart r:id="rId1"/>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54</vt:i4>
      </vt:variant>
    </vt:vector>
  </HeadingPairs>
  <TitlesOfParts>
    <vt:vector size="63" baseType="lpstr">
      <vt:lpstr>Ploegen</vt:lpstr>
      <vt:lpstr>Bepaling dagprijs</vt:lpstr>
      <vt:lpstr>ontv geld</vt:lpstr>
      <vt:lpstr>enveloppen</vt:lpstr>
      <vt:lpstr>Afdrukblad</vt:lpstr>
      <vt:lpstr>Prijzentabel oud</vt:lpstr>
      <vt:lpstr>Prijzentabel</vt:lpstr>
      <vt:lpstr>Bepaling winstdeelname</vt:lpstr>
      <vt:lpstr>Tabellen</vt:lpstr>
      <vt:lpstr>Aantal_24</vt:lpstr>
      <vt:lpstr>Aantal_25</vt:lpstr>
      <vt:lpstr>Aantal_26</vt:lpstr>
      <vt:lpstr>Aantal_27</vt:lpstr>
      <vt:lpstr>Aantal_28</vt:lpstr>
      <vt:lpstr>Aantal_29</vt:lpstr>
      <vt:lpstr>Aantal_30</vt:lpstr>
      <vt:lpstr>Aantal_kanshebbers</vt:lpstr>
      <vt:lpstr>aantal_ploegen</vt:lpstr>
      <vt:lpstr>Aantal_Prijs1</vt:lpstr>
      <vt:lpstr>Aantal_Prijs2</vt:lpstr>
      <vt:lpstr>Aantal_Prijs3</vt:lpstr>
      <vt:lpstr>Afdrukblad!Afdrukbereik</vt:lpstr>
      <vt:lpstr>'ontv geld'!Afdrukbereik</vt:lpstr>
      <vt:lpstr>Ploegen!Afdrukbereik</vt:lpstr>
      <vt:lpstr>Bedrag_per_ploeg</vt:lpstr>
      <vt:lpstr>Bedrag_per_ploeg_24</vt:lpstr>
      <vt:lpstr>Bedrag_per_ploeg_25</vt:lpstr>
      <vt:lpstr>Bedrag_per_ploeg_26</vt:lpstr>
      <vt:lpstr>Bedrag_per_ploeg_27</vt:lpstr>
      <vt:lpstr>Bedrag_per_ploeg_28</vt:lpstr>
      <vt:lpstr>Bedrag_per_ploeg_29</vt:lpstr>
      <vt:lpstr>Bedrag_per_ploeg_30</vt:lpstr>
      <vt:lpstr>Datum</vt:lpstr>
      <vt:lpstr>enveloppen!listGilden</vt:lpstr>
      <vt:lpstr>Prijzentabel!listGilden</vt:lpstr>
      <vt:lpstr>listGilden</vt:lpstr>
      <vt:lpstr>Prijzentabel!listGildenVR2</vt:lpstr>
      <vt:lpstr>listGildenVR2</vt:lpstr>
      <vt:lpstr>Prijzentabel!listTypeWedstrijd</vt:lpstr>
      <vt:lpstr>listTypeWedstrijd</vt:lpstr>
      <vt:lpstr>Minder_dan_6</vt:lpstr>
      <vt:lpstr>Ploegen</vt:lpstr>
      <vt:lpstr>enveloppen!PloegenKolom</vt:lpstr>
      <vt:lpstr>Prijs_vanaf</vt:lpstr>
      <vt:lpstr>Prijs1</vt:lpstr>
      <vt:lpstr>Prijs2</vt:lpstr>
      <vt:lpstr>Prijs3</vt:lpstr>
      <vt:lpstr>Stand</vt:lpstr>
      <vt:lpstr>tbl_ploegen</vt:lpstr>
      <vt:lpstr>tbl_prijzen</vt:lpstr>
      <vt:lpstr>tbl_prijzengeld</vt:lpstr>
      <vt:lpstr>tbl_prijzengeld_oud</vt:lpstr>
      <vt:lpstr>tbl_uitslag_punten</vt:lpstr>
      <vt:lpstr>TypeWedstrijd</vt:lpstr>
      <vt:lpstr>Uitslagen_A</vt:lpstr>
      <vt:lpstr>Uitslagen_B</vt:lpstr>
      <vt:lpstr>Uitslagen_C</vt:lpstr>
      <vt:lpstr>Uitslagen_D</vt:lpstr>
      <vt:lpstr>Uitslagen_E</vt:lpstr>
      <vt:lpstr>Uitslagen_F</vt:lpstr>
      <vt:lpstr>varDoorschuiven</vt:lpstr>
      <vt:lpstr>'Bepaling dagprijs'!varSleutel</vt:lpstr>
      <vt:lpstr>winstdeelname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Agnes</dc:creator>
  <cp:keywords/>
  <dc:description/>
  <cp:lastModifiedBy>Robin Laveren</cp:lastModifiedBy>
  <cp:revision/>
  <cp:lastPrinted>2026-05-24T20:47:37Z</cp:lastPrinted>
  <dcterms:created xsi:type="dcterms:W3CDTF">2010-06-06T17:17:01Z</dcterms:created>
  <dcterms:modified xsi:type="dcterms:W3CDTF">2026-05-31T16:40:06Z</dcterms:modified>
  <cp:category/>
  <cp:contentStatus/>
</cp:coreProperties>
</file>